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activeTab="0"/>
  </bookViews>
  <sheets>
    <sheet name="computo y presupuesto haspen" sheetId="1" r:id="rId1"/>
    <sheet name="computo y presupuesto haspe %" sheetId="2" r:id="rId2"/>
  </sheets>
  <definedNames>
    <definedName name="_xlnm.Print_Area" localSheetId="1">'computo y presupuesto haspe %'!$A$2:$J$235</definedName>
    <definedName name="_xlnm.Print_Area" localSheetId="0">'computo y presupuesto haspen'!$A$2:$J$235</definedName>
    <definedName name="_xlnm.Print_Titles" localSheetId="1">'computo y presupuesto haspe %'!$1:$4</definedName>
    <definedName name="_xlnm.Print_Titles" localSheetId="0">'computo y presupuesto haspen'!$1:$4</definedName>
  </definedNames>
  <calcPr fullCalcOnLoad="1"/>
</workbook>
</file>

<file path=xl/sharedStrings.xml><?xml version="1.0" encoding="utf-8"?>
<sst xmlns="http://schemas.openxmlformats.org/spreadsheetml/2006/main" count="1270" uniqueCount="281">
  <si>
    <t>Provision y colocacion de tanque  desarrollado en polietileno rotomoldeado, bicapa, de la firma TINACOS, fabricado en una sola pieza, de 1100 Lts de capacidad, se debe incluir flotantes, valvulas, valvula de limpieza, interruptor de vacio, ventilaciones, etc. Estos tanques sera utilizado para el sistema de reserva sanitaria.</t>
  </si>
  <si>
    <t>(M4)Mampostería exterior muro de bloques de hormigón 20x20x40cm. Sobre la cara interior del paramento, se aplicará revoque tipo IGGAM Mix I, esp. 1,5cm. La mampostería será armada con 2 fe6mm, cada dos hiladas. Sobre la cara exterior se aplicará una mano de pintura asfáltica en forma homogénea y cubrirá toda la superficie. En el exterior, se colocará revestimiento de chapa galvanizada prepintada color Negro ondulada Nº 24, fiajada a perfiles "C", sujetos a la mampostería interior de bloques de Hormigón de 20x20x40. Se dejará una cámara de aire, en la cual se colocará lana de vidrio de 2" espesor.</t>
  </si>
  <si>
    <t>(M1)- (inferior) Mampostería exterior hasta nivel +2.50m, doble muro de bloques de hormigón, 15x20x40cm (exterior) y 20x20x40cm (interior), hacia el exterior se aplicara azotado con aislación hidrófuga sobre el cual se aplicará revoque tipo IGGAM Mix E, espesor 1,5cm. Sobre la cara interior se aplicará una mano de pintura asfáltica en forma homogénea y cubrirá toda la superficie. Se dejará una cámara de aire de 5cm, en la cual se colocará la aislación térmica de poliestireno expandido de espesor 5cm en planchas. En el paramento interior de bloque de 20x20x40 cm, se revocará con IGGAM Mix I, esp. 1,5cm. La mampostería será armada con 2 fe6mm, cada dos hiladas, por paramento.</t>
  </si>
  <si>
    <t xml:space="preserve">De chapa de fibra de vidrio ondulada doble </t>
  </si>
  <si>
    <t>Revestimiento cementicio decorativo, con color incorporado, que permite lograr la textura "Simil Piedra" (textura fina) para exteriores "SUPERIGGAM",  y al finalizar los trabajos se aplicara una proteccion de Siliston S</t>
  </si>
  <si>
    <t>En exteriores. De placa cementicia de 8mm, montada sobre estructura de 70mm propia del sistema, la colocacion de los montantes se realizara cada 40 cm.</t>
  </si>
  <si>
    <t>Porton metalico sobre linea municipal calle Mora  5,70m ingreso vehicular,  idem a los existentes</t>
  </si>
  <si>
    <t>Porton metalico sobre linea municipal calle Mora  2,60m ingreso vehicular,  idem a los existentes</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</si>
  <si>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50</t>
  </si>
  <si>
    <t>Provisión e instalación de manguera negra para conexion del servicio de agua de 3/4" enterrada con preteccion mecanica y aislacion termica de mexpol en toda su longitud, incluye medidor, llave maestra y obras complementarias para efectuar la conexion.Se debe tener en cuenta los accesorios, llaves de paso, valvulas esfericas, protecciones, fijaciones y piezas especiales que indique el fabricante</t>
  </si>
  <si>
    <t>Jaula de proteccion para equipos de aire, contruida con malla artistica 50mm x 50mm y estructura de hierro angulo, la proteccion sera total y envolvente.</t>
  </si>
  <si>
    <t>Generador de aire caliente Tempomatic modelo, TEO 050VC quemador 70.000 Kcal/h, efectivas 50.000 Kcal/h.</t>
  </si>
  <si>
    <t>Provisión e instalación de bocas para tomas  monofásicos, para artefactos autonomos indicadores de salidas de emergencia, incluye cajas, cañerías, cableado, tapa, modulos con puesta a tierra etc.</t>
  </si>
  <si>
    <t>CE05</t>
  </si>
  <si>
    <t>Provisión y colocación de cumbreras de chapa galvanizada prepintada idem cubierta nº 24</t>
  </si>
  <si>
    <t>Provisión y colocación de cenefas de chapa galvanizada prepintada idem cubierta nº 24</t>
  </si>
  <si>
    <t>Provisión y colocación de canaletas chapa galvanizada prepintada Idem cubierta nº 24.</t>
  </si>
  <si>
    <t>Provisión y colocación de bajadas de chapa galvanizada prepintada Idem cubierta nº 24.</t>
  </si>
  <si>
    <t>Pintura látex acrílico para tabiques interiores.</t>
  </si>
  <si>
    <t>Provisión e instalación de bomba de circulación para calefacción, modelo CXL100-32 de Salmson, con todos sus accesorios para la construccion de by-pass, permitiendo tener una bomba en servicio y una reserva por cada circuito (dos circuitos)</t>
  </si>
  <si>
    <t xml:space="preserve">Provisión e instalación de elementos para radiadores modelo DUBAL 80, con sus accesorios. </t>
  </si>
  <si>
    <t xml:space="preserve">Provisión e instalación de conjunto para radiadores DUBAL 80, tapones, llaves, purgas, y soportes, con sus accesorios. </t>
  </si>
  <si>
    <t xml:space="preserve">Provisión e instalación de cañería de alimentación y retorno a los radiadores, en tubos de polietileno reticulado por peróxido tipo PEX-A de  Rehau, incluye sistema de acople mecánico (racores de compresión, codos terminales); de  20x1,9 mm. </t>
  </si>
  <si>
    <t>Conjunto de artefactos, griferias y accesorios para baño de discapacitados, linea Espacio de Ferrum,  por la provisión, colocación e instalación de lavatorio monocomando de losa vitrificada color blanco (LET1F), con griferia monocomando, 2 Barrales rebatibles de 60cm (VTEB), Inodoro alto (IETJ) y Deposito (DTEXF), Asiento para Inodoro (TTE3), Barral rebatible con portarrollo y accionador (VTEPA), Barral rebatible de 80 cm.(VTEB8), Espejo vasculante (VTEE1 B). Las cañerias y flexibles  de conexión a los artefactos se fijaran mediante el sistema  fv-dryfix, para construcciones en seco.</t>
  </si>
  <si>
    <t>Dispenser papel para baño de Valot linea "Valot Control System", color azul, rojo y verde, concordante con las molduras.</t>
  </si>
  <si>
    <t>Dispenser toalla de manos de Valot linea "Valot Control System", color azul, rojo y verde, concordante con las molduras.</t>
  </si>
  <si>
    <t>Dispenser shampoo para manos de Valot linea "Valot Control System", color azul, rojo y verde, concordante con las molduras.</t>
  </si>
  <si>
    <t>Provisión e instalación de Extintor de 5 kg., tipo HALON, con gabinete metalico para embutir en los tabiques</t>
  </si>
  <si>
    <t>Provición e instalación de Extintor de 10 kg., tipo triclase según E.T.P., con gabinete metalico para embutir en los tabiques, y de acuerdo a lo indicado por requerimiento de Bomberos de la Provincia</t>
  </si>
  <si>
    <t>Provisión, instalación y colocación de gabinete metálico, para embutir, con soporte para manguera, válvula tipo teatro de bronce Ø 2" x 1 3/4" c/tapa, manguera de metal sintético Ø 1 3/4" x 25 m., con uniones STORZ Ø 1 1/3" c/boquilla regulable con chorro pleno y niebla combinada, Ø 15 mm</t>
  </si>
  <si>
    <t>En  Office local nº 8, sobre pared posterior y laterales donde se ubique la mesadas;  Revestimiento de la  linea Clasica color Blanco Niveo (Art. 5430) de San Lorenzo hasta los 1,60 m del NP. Se rematara en la parte superior con un moldura de aluminio color blanco. De igual manera todos los cantos vivos tendran la molduras de aluminio color blanco similar al ceramico.</t>
  </si>
  <si>
    <t>Artefacto tipo 10</t>
  </si>
  <si>
    <t>Piso de madera  en campo deportivo, entablonado de GUATAMBU con tablas de 1" x 4" x 1,20m, colocado sobre un enrejado doble con bastidores de GUAYIBIRA, los bastidoros son de 1" x 3" x 2,00 a 2,50m, apoyado sobre tacos de  goma de 8mm de espesor colocados de forma que el piso tenga la misma flexibilidad en cualquier punto el mismo. El entablonado de GUATAMBU sera tratada en secaderos para lograr un secado tal que no permita deformaciones ni separaciones de la madera, del mismo modo el tratamiento sera funguicida.</t>
  </si>
  <si>
    <t>Piso ceramica 45 x 45 , linea CEMENTO ENDURO color ARENA de San Lorenzo.Locales 2, 7, 8, 9, 12, y 13.Incluye zocalos del mismo material.</t>
  </si>
  <si>
    <t>Piso ceramica 45 x 45 , linea CEMENTO ENDURO color GRIS de San Lorenzo. Locales 1, 3, 5, 6, 11, 14, 15, y 16. Incluye Zocalos del mismo material.</t>
  </si>
  <si>
    <t>Cielorraso de Machimbre de PVC, marca Stetic Plas o similar, tablas de 200 mm de cierre hermetico, con perfiles de terminacion, se montara sobre una estructura de soleras y montantes metalicos, este revestimiento se ejecutara sobre toda la superficie de la cubierta de los locales nº 4, 17 y 18, el cielorraso acompaña la pendiente de la misma.</t>
  </si>
  <si>
    <t xml:space="preserve">De placa de roca de yeso de 9mm,montada sobre estructura de 70mm propia del sistema, la colocacion de los montantes se realizara cada 40 cm. </t>
  </si>
  <si>
    <t>GL</t>
  </si>
  <si>
    <t xml:space="preserve">CE01 </t>
  </si>
  <si>
    <t>VI01</t>
  </si>
  <si>
    <t>CI01</t>
  </si>
  <si>
    <t>CI02</t>
  </si>
  <si>
    <t>CI03</t>
  </si>
  <si>
    <t>CI04</t>
  </si>
  <si>
    <t>CC01</t>
  </si>
  <si>
    <t>Esmalte sintético en estructura metalica a la vista, molduras, cañerias a la vista, gabinetes, etc.</t>
  </si>
  <si>
    <t>Laca en revestimiento de madera en gradas local nº 17 y 18.</t>
  </si>
  <si>
    <t>Cesto metalico para basura colocado sobre linea municipal, en calle Juan C. Mora, con tapa, dimensiones 2m x 1m x 0,8m, altura de colocacion de acuerdo a ordenanza.</t>
  </si>
  <si>
    <t>Señalizacion interna  modulo 200 x 200 mm Impresión digital a cuatro colores o serigrafiado montado sobre fibrofacil de 5mm de espesor.</t>
  </si>
  <si>
    <t>Bajo mesada (cajones y puertas con estantes) y mesada de AI de 1,50m con 1 bacha simple (0,50 x 0,35 x 0,17 ) y griferia  Allegro de FV (cod. 416.01/15 cromo) en Office  (Local nº 8). Referncia nº 11 Detalles Sanitarios.</t>
  </si>
  <si>
    <t>Bajo mesada (puertas con estantes) y mesada de AI de 1,20m ciega en Office  (Local nº 8). Referencia nº 26 Detalles Sanitarios.</t>
  </si>
  <si>
    <t>Estructura metálica columnas vigas y piso de metal desplegado, para entrepiso tecnico en sala de maquina</t>
  </si>
  <si>
    <t xml:space="preserve">Provisión, colocación e instalación de Inodoro Mayo corto (IMF)y valvula para limpieza de inodoros de embutir de 38mm( cod. 0368.01) con tapa con tecla cromo,para valvula 368.01 ( cod. 0368.02CR); incluye tapa (TFN), de Ferrum. </t>
  </si>
  <si>
    <t xml:space="preserve">Provisión, colocación e instalación de Mingitorio mural corto antivandalico (MMD) de Ferrum, incluye valvula automatica antivandalica de  mingitorio (Codigo 0344CR) de  FV. </t>
  </si>
  <si>
    <t>Provisión, colocación  de espejo enmarcado en acero inoxidable para colocar sobre la mesada, debera ocupar la totalidad del frente de la misma, sera  de 2,70m y tendra una altura de 1,20m. Locales nº 05 y 16.</t>
  </si>
  <si>
    <t>Cantero de mamposteria de bloque de 20x20x40cm exterior revocado con Igamm Mix E, interior, azotado hidrofugo y pintura asfaltica, altura del muro 40cm, en vereda de ingreso frente local 16, ubicación mas cercana al edificio</t>
  </si>
  <si>
    <t>Cantero de mamposteria de bloque de 20x20x40cm exterior revocado con Igamm Mix E, interior, azotado hidrofugo y pintura asfaltica, altura del muro 40cm, en vereda de ingreso frente local 16, ubicación mas alejado al edificio</t>
  </si>
  <si>
    <t>Cantero de mamposteria de bloque de 20x20x40cm exterior revocado con Igamm Mix E, interior, azotado hidrofugo y pintura asfaltica, altura del muro 40cm. Ubicación frente al ingreso principal.</t>
  </si>
  <si>
    <t>Cantero de mamposteria de bloque de 20x20x40cm exterior revocado con Igamm Mix E, interior, azotado hidrofugo y pintura asfaltica, altura del muro 40cm. Ubicación , sector posterior del edificio delimitando calle de servicio.</t>
  </si>
  <si>
    <t xml:space="preserve">Provisión, colocación e instalación de Receptaculo de Ducha de acero porcelanizado RI70 de Ferrum, incluye griferia linea ALLEGRO para ducha y bañera de dos llaves y transferencia modelo 0103/15 Cromo de  FV. </t>
  </si>
  <si>
    <t>Provisión, colocación  de mesada de granito gris mara de 2,70 x 0,55m con 3 lavatorios Imola (LMHF), con 3 griferias Linea FV ALLEGRO (0183/15), la mesada se montara sobre mensulas y 4 pie de apoyo de acero inoxidable- Locales nº 05 y 16.</t>
  </si>
  <si>
    <t>Provisión, colocación  de mesada de granito gris mara de 2,50 x 0,55m con 3 lavatorios Imola (LMHF), con 3 griferias Linea FV ALLEGRO (0183/15), la mesada se montara sobre mensulas y  4 pie de apoyo de acero inoxidable- Locales nº 06 y 15.</t>
  </si>
  <si>
    <t>Provisión, colocación  de espejo enmarcado en acero inoxidable para colocar sobre la mesada, debera ocupar la totalidad del frente de la misma, sera  de 2,5,0m y tendra una altura de 1,20m. Locales nº 06 y 15.</t>
  </si>
  <si>
    <t>Ejecución de instalaciones, en la sala de maquinas para  proveer e instalar: un equipo hidroneumático  RP30  de la firma Rowa, completo, con todos los accesorios para su correcto funcionamiento, apto para servicio potable; Incluye colectores, valvulas, bridas,ruptor de vacio,válvula de retención de bronce,  soportes, etc</t>
  </si>
  <si>
    <t>Costo Financiero 2,58%</t>
  </si>
  <si>
    <t>Gastos  Generales 22%</t>
  </si>
  <si>
    <t>Impuesto 3%</t>
  </si>
  <si>
    <t>Insumos 1%</t>
  </si>
  <si>
    <t>Presupuesto Total</t>
  </si>
  <si>
    <t>Calderas para calefaccion solamente F41 de JIT, 41500Kcal/h, incluye todos los accesorios,  conducto de evacuacion de gases de acero inoxidable.</t>
  </si>
  <si>
    <t>Conductos de inyeccion de aire y evacuacion de gases, para la sala de maquina, los conductos tendra una seccion rectangular de 20 x 20 cm cada uno; el conducto de inyeccion, con su respectiva rejilla arrancara desde los  + 0,30 m del NPT; el conducto de evacuacion con su rejilla arrancara desde los 2,20m del NPT; ambos conductos remataran a los cuatro vientos con las diferencias de alturas reglamentarias y los sombreretes tipo "H" aprobados.</t>
  </si>
  <si>
    <t>Provisión e instalación de cañeria troncal de Hidrobronce, soldadura de plata, para alimentacion y retorno desde la sala de maquina a los colectores (3"), distruibuidos en 2 circuitos  diametro (2 1/2", y 2"); incluye soportes, fijaciones, asilaciones , llaves de paso, etc. (tres circuitos)</t>
  </si>
  <si>
    <t>Provisión e instalación de bocas de iluminacion, según se indica en planos y E.T.P., incluye cajas, cañerías, cableado, tapa, modulos de llaves de un punto, dos puntos, tres puntos o combinacion, según el caso, con puesta a tierra etc.</t>
  </si>
  <si>
    <t>A</t>
  </si>
  <si>
    <t>B</t>
  </si>
  <si>
    <t>Percha simple 2 Unidades (APF3U), linea FIX de ferrum</t>
  </si>
  <si>
    <t>D</t>
  </si>
  <si>
    <t>Provisión, instalación y colocación de cañerías, accesorios y piezas especiales, incluye PPA, BDA,  etc., de polipropileno copolimero de alta resistencia, de union deslizante, con guarnicion elastomerica de doble labio, de maxima seguridad, de color negro, diametro 110 mm.</t>
  </si>
  <si>
    <t>Aislaciones en cubierta: hidrofuga nylon de 200micrones y termicas de 4" de lana de vidrio con papel. Se sujetara con tejido plastico. Todos los encuentros chapa /chapa, chapa /estructura, chapa/tabiques, se sellara con COMPRIBAND.</t>
  </si>
  <si>
    <t>Estructura metálica, para escalera de emergencia interior, salida local 17, incluye pedadas de chapa plegada nº XX revestida, barandas, bases de hormigon y anclajes.</t>
  </si>
  <si>
    <t>Aislacion termica en contrapisos, en forma perimetral al edificio, poliestireno expandido de 35mm, 1m hacia el exterior, y 1 m hacia el interior, tomando como eje los tabiques perimetrales, la aislacion tendra continuidad por las estructuras de hormigon, la aislacion sera envolvente.</t>
  </si>
  <si>
    <t xml:space="preserve">Provisión, instalación y colocación de cañerías, accesorios y piezas especiales , incluye PPA, BAcc, BDA, Caño Camara, ventilaciones, etc., de polipropileno copolimero de alta resistencia, de union deslizante, con guarnicion elastomerica de doble labio, de maxima seguridad, de color negro, diametro 110 mm. </t>
  </si>
  <si>
    <t>Divisorios mingitorios de granito gris mara de 3cm de espesor y 0,45m x 0,90m, terminacion de cantos vistos, fijados a la mamposteria con soportes cromados, la cabeza de los bulones a la vista tendra la misma terminacion.</t>
  </si>
  <si>
    <t>Rejillas de ventilacion, reglamentarias</t>
  </si>
  <si>
    <t>p</t>
  </si>
  <si>
    <t>q</t>
  </si>
  <si>
    <t>r</t>
  </si>
  <si>
    <t>Esmalte sintetico (comun o alta temperatura) en instalaciones y conductos, se pintaran de acuerdo a los colores regalmentarios establecidos en las normas IRAM.</t>
  </si>
  <si>
    <t>U.</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</si>
  <si>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63</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</si>
  <si>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40</t>
  </si>
  <si>
    <t>Estructura metálica para cubierta, cerchas y cabriadas.</t>
  </si>
  <si>
    <t>Estructura metálica para cubierta correas</t>
  </si>
  <si>
    <t>Kg</t>
  </si>
  <si>
    <t>(M1)- (superior) Desde el nivel +2.50m hasta el nivel de cubierta, se colocará revestimiento de chapa galvanizada prepintada (Negra) ondulada Nº 24, fiajada a perfiles "C", sujetos a la mamposteriía interior de bloques de Hormigón de 20x20x40. Se dejará una cámara de aire, en la cual se colocará lana de vidrio de 2" espesor. Sobre la cara exterior de los bloques, se aplicará una mano de pintura asfáltica en forma homogénea y cubrirá toda la superficie. Sobre la cara interior, se aplicará revoque tipo IGGAM Mix I, esp. 1.5cm.</t>
  </si>
  <si>
    <t>De chapa galvanizada ondulada prepintada color Negro BWG N° 24.</t>
  </si>
  <si>
    <t>Sobre terreno natural, en el exterior, para veredas y expansión exterior, de H°A° con malla electro soldada de fe 4,2mm, cuadricula 15 x 15 cm, Q92, espesor 10cm, terminacion hormigon rodillado.</t>
  </si>
  <si>
    <t>Sobre terreno natural, en el exterior, para veredas municipales, de H°A° con malla electro soldada de fe 4,2mm, cuadricula 15 x 15 cm,Q92, espesor 10cm, terminacion hormigon rodillado</t>
  </si>
  <si>
    <t>Provisión, instalación y colocación de cañerías de hierro  Ø 0,051 m., para instalación contra incendio, incluye accesorios, piezas especiales y de transición.</t>
  </si>
  <si>
    <t>De H°A°  en  vigas sobre planta baja sector gimnasio, doble altura de encadenado.</t>
  </si>
  <si>
    <t>Provisión y colocación de llaves de paso para gas en bronce con campana LL.G diámetro de acuerdo al calculo de la cañeria, según reglamento.</t>
  </si>
  <si>
    <t xml:space="preserve"> H°A° zapata corrida </t>
  </si>
  <si>
    <t xml:space="preserve"> H°A° Bases en columnas de gimnasio</t>
  </si>
  <si>
    <t xml:space="preserve">Provisión y colocación de central analogica de alarma , unidad de control central </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</si>
  <si>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32</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</si>
  <si>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25</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</si>
  <si>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20</t>
  </si>
  <si>
    <t>C</t>
  </si>
  <si>
    <t>Beneficios 10%</t>
  </si>
  <si>
    <t>Prov. e instal. de tablero seccional cada uno tendrá idénticas características al TG conteniendo llaves termomagnéticas amperaje segun cálculo, para circuitos de iluminación y tomacorrientes y un disyuntor diferencial de instensidad s/ c, se prevee una reserva 3 circuitos por cada tablero.</t>
  </si>
  <si>
    <t>Provisión, instalación y colocación de cañerías, accesorios y piezas especiales de polipropileno copolimero de alta resistencia, de union deslizante, con guarnicion elastomerica de doble labio, de maxima seguridad, de color negro, diametro 50 mm.</t>
  </si>
  <si>
    <t>Provisión, instalación y colocación de cañerías, accesorios y piezas especiales de polipropileno copolimero de alta resistencia, de union deslizante, con guarnicion elastomerica de doble labio, de maxima seguridad, de color negro, diametro 40 mm.</t>
  </si>
  <si>
    <t>Provisión, instalación y colocación de cañerías, accesorios y piezas especiales, incluye PPA, BAcc, BDA, Caño Camara, ventilaciones, etc., de polipropileno copolimero de alta resistencia, de union deslizante, con guarnicion elastomerica de doble labio, de maxima seguridad, de color negro, diametro 160 mm.</t>
  </si>
  <si>
    <t>Demolicion para conectar el edificio existente, con el gimnasio.</t>
  </si>
  <si>
    <t>De H°A°  en columnas 40 cm x 35 cm.</t>
  </si>
  <si>
    <t>De H°A°  en columnas sector gimnasio 80cm x 35cm.</t>
  </si>
  <si>
    <t>De H°A°  en  vigas sobre planta baja.</t>
  </si>
  <si>
    <t>De H°A° Losa tribuna Sector cabecera. Local 17.</t>
  </si>
  <si>
    <t>De H°A° Losa tribuna Sector lateral. Local 18.</t>
  </si>
  <si>
    <t>De H°A° Losa escalera acceso Local 18.</t>
  </si>
  <si>
    <t>Estructura metálica, para escalera de emergencia exterior, salida local 18, incluye pedadas de metal desplegado pesado, barandas, bases de hormigon y anclajes.</t>
  </si>
  <si>
    <t>Instalación de Gas y Artefactos</t>
  </si>
  <si>
    <t>Carpinterias (incluye herrajes y vidrios)</t>
  </si>
  <si>
    <t>E</t>
  </si>
  <si>
    <t xml:space="preserve">Reserva de agua para consumo </t>
  </si>
  <si>
    <t>Instalacion de Gas</t>
  </si>
  <si>
    <t>Varios (amoblamiento, señalizacion, mastiles, canteros y obras exteriores)</t>
  </si>
  <si>
    <t>OBRA: AMPLIACION COLEGIO HASPEN  - RIO GRANDE</t>
  </si>
  <si>
    <t>(M2) Mampostería exterior s/Edificio Existente en Cancha, Doble Muro de bloques de hormigón, 15x20x40 (exterior) y 20x20x40 (interior). Hacia el exterior se aplicará azotado con aislación hidrófuga sobre el cual se aplicará revoque tipo IGGAM Mix E, esp. 1,5cm; sobre la cara interior se aplicará una mano de pintura asfáltica en forma homogénea y cubrirá toda la superficie. Se dejará una cámara de aire de 50mm, en la cual se colocará la aislación térmica de poliestireno expandido de e=50 mm en planchas, en el paramento interior de bloque de 20x20x40 cm, se revocará con IGGAM Mix I, esp. 1,5cm. La mampostería será armada con 4 fe6mm, cada dos hiladas.</t>
  </si>
  <si>
    <t>(M3)Mampostería exterior, Doble Muro de bloques de hormigón, 15x20x40 (exterior) y 20x20x40 (interior). Hacia el exterior se aplicará azotado con aislación hidrófuga sobre el cual se aplicará revoque tipo IGGAM Mix E, esp. 1,5cm; sobre la cara interior se aplicará una mano de pintura asfáltica en forma homogénea y cubrirá toda la superficie. Se dejará una cámara de aire de 50mm, en la cual se colocará la aislación térmica de poliestireno expandido de e=50 mm en planchas, en el paramento interior de bloque de 20x20x40 cm, se revocará con IGGAM Mix I, esp. 1,5cm. La mampostería será armada con 4 fe6mm, cada dos hiladas.</t>
  </si>
  <si>
    <t>(M5)Muros interiores, de bloques de Hormigón de 13x20x40cm, con una aplicación de revoque tipo IGGAM Mix I, en ambas caras.</t>
  </si>
  <si>
    <t>(M6) Muros interiores, tabiques divisorios de baños (box de inodoros y duchas). Conformado con por placa cementicia superboard 8mm en ambas caras, montado sobre estructuras de perfiles galvanizados  PGU y PGC de 70mm.Altura de tabique 2,05m</t>
  </si>
  <si>
    <t>Provisión, instalación y colocación de cañerías, accesorios y piezas especiales, incluye PPA, BAcc, BDA, Caño Camara, ventilaciones, etc., de polipropileno copolimero de alta resistencia, de union deslizante, con guarnicion elastomerica de doble labio, de maxima seguridad, de color negro, diametro 63 mm.</t>
  </si>
  <si>
    <t>Rubro</t>
  </si>
  <si>
    <t>Items</t>
  </si>
  <si>
    <t>Demolicion de muro y rejas sobre linea municipal en calle Juan C. Mora, para  permitir la colocacion de los portones.</t>
  </si>
  <si>
    <t>Provisión, instalación y colocación de cañerías de hierro  Ø 0,063 m., para instalación contra incendio, incluye accesorios, piezas especiales y de transición.</t>
  </si>
  <si>
    <t>Provisión e instalación de bocas de fuerza motriz para bombas de recirculacion, equipo prezurizador de agua de consumo, y  equipos de aire caliente.</t>
  </si>
  <si>
    <t>Artefacto tipo 01</t>
  </si>
  <si>
    <t>Artefacto tipo 02</t>
  </si>
  <si>
    <t>Artefacto tipo 03</t>
  </si>
  <si>
    <t>Artefacto tipo 04</t>
  </si>
  <si>
    <t>Artefacto tipo 05</t>
  </si>
  <si>
    <t>Artefacto tipo 06</t>
  </si>
  <si>
    <t>Artefacto tipo 07</t>
  </si>
  <si>
    <t>Artefacto tipo 08</t>
  </si>
  <si>
    <t>Artefacto tipo 09</t>
  </si>
  <si>
    <t>Artefacto tipo LE 01</t>
  </si>
  <si>
    <t>Artefacto tipo LE 02</t>
  </si>
  <si>
    <t>Calle de servicio enripiada, acceso para vehiculos, incluye compactacion.</t>
  </si>
  <si>
    <t>DESIGNACION DE LOS TRABAJOS</t>
  </si>
  <si>
    <t xml:space="preserve">Unidad </t>
  </si>
  <si>
    <t xml:space="preserve">Cantidad </t>
  </si>
  <si>
    <t xml:space="preserve">Subtotal </t>
  </si>
  <si>
    <t>TOTAL</t>
  </si>
  <si>
    <t>Trabajos Preliminares</t>
  </si>
  <si>
    <t>a</t>
  </si>
  <si>
    <t>Provisión de materiales y construcción de cámara de inspección de 0,60 x 0,60 m, base de Hº y mamposteria de bloque de 20 x20x40cm con revoque de cemento alisado, doble tapa de hormigon.</t>
  </si>
  <si>
    <t>gl</t>
  </si>
  <si>
    <t>b</t>
  </si>
  <si>
    <t xml:space="preserve">Cartel  de obra </t>
  </si>
  <si>
    <t>c</t>
  </si>
  <si>
    <t>Cerco de obra</t>
  </si>
  <si>
    <t>ml</t>
  </si>
  <si>
    <t>d</t>
  </si>
  <si>
    <t>Replanteo</t>
  </si>
  <si>
    <t>e</t>
  </si>
  <si>
    <t>Obrador</t>
  </si>
  <si>
    <t>f</t>
  </si>
  <si>
    <t>Gl</t>
  </si>
  <si>
    <t>Deslinde y amojonamiento</t>
  </si>
  <si>
    <t>m3</t>
  </si>
  <si>
    <t>Estructura Resistente</t>
  </si>
  <si>
    <t>H° de limpieza e= 0,03 m</t>
  </si>
  <si>
    <t>Muros y Tabiques</t>
  </si>
  <si>
    <t>m2</t>
  </si>
  <si>
    <t>Aislaciones</t>
  </si>
  <si>
    <t>Cubierta</t>
  </si>
  <si>
    <t>Revoques</t>
  </si>
  <si>
    <t>Contrapisos</t>
  </si>
  <si>
    <t>Pisos y Zocalos</t>
  </si>
  <si>
    <t>Cielorrasos</t>
  </si>
  <si>
    <t>Revestimiento</t>
  </si>
  <si>
    <t>unid</t>
  </si>
  <si>
    <t>g</t>
  </si>
  <si>
    <t>h</t>
  </si>
  <si>
    <t>i</t>
  </si>
  <si>
    <t>j</t>
  </si>
  <si>
    <t>k</t>
  </si>
  <si>
    <t>l</t>
  </si>
  <si>
    <t>m</t>
  </si>
  <si>
    <t>n</t>
  </si>
  <si>
    <t>ñ</t>
  </si>
  <si>
    <t>o</t>
  </si>
  <si>
    <t>Pinturas</t>
  </si>
  <si>
    <t>15</t>
  </si>
  <si>
    <t>Instalación Sanitaria</t>
  </si>
  <si>
    <t>Desagüe cloacal</t>
  </si>
  <si>
    <t>Agua fría y caliente</t>
  </si>
  <si>
    <t>Precio Unitario</t>
  </si>
  <si>
    <t>Artefactos, griferías y accesorios</t>
  </si>
  <si>
    <t>Instalación de Desagüe Pluvial</t>
  </si>
  <si>
    <t>Instalación contra incendio</t>
  </si>
  <si>
    <t>Instalación de Calefacción</t>
  </si>
  <si>
    <t>Instalación Electrica</t>
  </si>
  <si>
    <t>Provisión e instalación de bocas para tomas trifásicos, según se indica en planos y E.T.P., incluye cajas, cañerías y cableados</t>
  </si>
  <si>
    <t>Artefactos</t>
  </si>
  <si>
    <t>Baja Tensión</t>
  </si>
  <si>
    <t>Provisión y colocación de bocas para telefonía</t>
  </si>
  <si>
    <t>Provisión y colocación de artefactos timbres y campanilla en sanitaro discapacitados. Incluye boca.</t>
  </si>
  <si>
    <t>%</t>
  </si>
  <si>
    <t>Provisión y colocación de detectores fotoeléctricos de humo analógicos, dierccionables, compatibles con centrales analógicas .</t>
  </si>
  <si>
    <t>Provisión y colocación de detectores de gas, compatibles con centrales analógicas .</t>
  </si>
  <si>
    <t>Provisión y colocación de avisadores manuales de incendio direccionables, compatibles con centrales analógicas . Aptos para el montaje exterior o semiembutido con antidesarme, de doble acción y registro de operación.</t>
  </si>
  <si>
    <t>U</t>
  </si>
  <si>
    <t>Provisión y colocación de sirenas electrónicas con luz estroboscópica, programables en el campo para 8 tonos distintos, baja corriente de consumo, con luz incorporada para 15 candelas</t>
  </si>
  <si>
    <t xml:space="preserve">Provisión y colocación de sirena exterior </t>
  </si>
  <si>
    <t>Provisión y colocación de detectores de movimiento direccionables, compatibles con centrales analógicas .</t>
  </si>
  <si>
    <t>Limpieza de obra</t>
  </si>
  <si>
    <t>Costo  -  Costo</t>
  </si>
  <si>
    <t>Sub  -  Total</t>
  </si>
  <si>
    <t>Movimiento de Suelo y Demolicion</t>
  </si>
  <si>
    <t xml:space="preserve">Relleno, compactacion y nivelación </t>
  </si>
  <si>
    <t xml:space="preserve">Excavacion para bases y vigas </t>
  </si>
  <si>
    <t>Zinguería y Herreria</t>
  </si>
  <si>
    <t>Baranda de caño estructural en, seccion circula, rampa discapacitados, Locales nº 2.</t>
  </si>
  <si>
    <t>Provisión y colocación de aleros, de chapa galvanizada prepintada Idem cubierta nº 24.</t>
  </si>
  <si>
    <t>Baranda de proteccion de caño estructural, seccion circular, tribunas, Locales nº 17 y 18</t>
  </si>
  <si>
    <t>Baranda y pasamano de caño estructural en escaleras, seccion circular, escaleras de acceso a tribunas, Locales nº 17 y 18.</t>
  </si>
  <si>
    <t>Baranda de proteccion de caño estructural, seccion circular, caja de escalera, Local nº 18</t>
  </si>
  <si>
    <t>Pintura látex acrílico para cielorrasos de placa de roca de yeso y hormigon visto.</t>
  </si>
  <si>
    <t>Esmalte sintético en barandas, pasamanos y escaleras metalicas interiores y exteriores.</t>
  </si>
  <si>
    <t>Escalera tipo gato, con guarda vida, en sala de maquina , acceso al entrepiso tecnico</t>
  </si>
  <si>
    <t>Esmalte sintético en estructura del entrepiso tecnico, incluye escalera y guardavida</t>
  </si>
  <si>
    <t>Baranda de proteccion de caño estructural, seccion circular, entrepiso tecnico</t>
  </si>
  <si>
    <t>Termotanque de alta recuperacion de 250 Lts, quemador 30000 Kcal/h Rhemm -Saiar  incluye todos los accesorios,  conducto de evacuacion de gases de acero inoxidable, conexión en paralelo.</t>
  </si>
  <si>
    <t>COMPUTO Y  PRESUPUESTO</t>
  </si>
  <si>
    <t>Provisión e instalación de regulador de acuerdo a normas de Camuzzi Gas del Sur S.A., y todos sus accesorios, con dispositivo de seguridad,  la capacidad resultara de la potencia instalada mas  46,56 m3/h que se instalaran, los tabajos comprenden la readecuacion del nicho de gas, para lograr abastecer la nueva demanda, se deben incluir bridas y todo accesorio que permita un correcto funcionamiento.</t>
  </si>
  <si>
    <t>Provision  e instalacion de tablero general, gabinete de 0,40 x 0,60 m., de chapa DD, normalizado IRAM , con tapa contratapa y cerradura , leed con lectura de cierre y apertura de circuitos, con disyuntor diferencial trifásico, según cálculo, de corte y cierre rápido</t>
  </si>
  <si>
    <t>Monofasica y Trifasica</t>
  </si>
  <si>
    <t>Interior : Grueso y fino con Igamm Mix I.</t>
  </si>
  <si>
    <t>Exterior: Grueso y fino, previo azotado Hidrofugo, revoque Igaam Mix E</t>
  </si>
  <si>
    <t>Sobre terreno natural, interior del edificio, de H°A° con malla electro soldada de fe 6mm, cuadricula 15 x 15 cm,Q88, aislación hidrófuga nylon 200micrones, espesor 12cm.</t>
  </si>
  <si>
    <t>Piso Indelval, modelo  Vainilla color gris, colocado en los revestimiento de escalera. Accesos a tribunas</t>
  </si>
  <si>
    <t>En el interior del edificio de Hormigon visto, encofrados continuos, metalicos o de multilaminado.En locales 1 y 3.</t>
  </si>
  <si>
    <t>Planos Municipales, Arquitectura, Obras Sanitarias, Cooperativa Electrica, y Camuzzi (gas)</t>
  </si>
  <si>
    <t>Seguridad y vigilancia</t>
  </si>
  <si>
    <t>CE02</t>
  </si>
  <si>
    <t>CE03</t>
  </si>
  <si>
    <t>CE04</t>
  </si>
  <si>
    <t>CI05</t>
  </si>
  <si>
    <t>CI06</t>
  </si>
  <si>
    <t>En sanitarios y vestuarios, Locales 5, 6, 11, 15 y 16. Revestimiento de la  linea Clasica color Blanco Niveo (Art. 5430) de San Lorenzo hasta los 2,50 m del NPT; a los 1,20 y del NPT se colocara un Listel Panza (firma moldumet) de aluminio color rojo (locales 5 y 6) color azul (localas 15 y 16) color verde (local 11)  y se rematara en la parte superior a los 2,50m con una moldura de aluminio del mismo color, segun el baño. De igual manera todos los cantos vivos tendran la molduras de aluminio color blanco similar al ceramico.</t>
  </si>
  <si>
    <t>CI07</t>
  </si>
  <si>
    <t>VE01</t>
  </si>
  <si>
    <t>VE02</t>
  </si>
  <si>
    <t>VE03</t>
  </si>
  <si>
    <t>VE04</t>
  </si>
  <si>
    <t>VE05</t>
  </si>
  <si>
    <t>Bocas para instalacion de gas natural, incluye provisión e instalación de caños de hierro negro con protección epoxi, accesorios y piezas de conexión ídem cañerías; incluye piezas de sujeccion aprobadas,  incluye excavación en terreno natural, contrapisos, etc., y posterior tapado,  diámetro 25mm,32mm, 38mm, 51mm, 63mm, 76mm, y 101mm.</t>
  </si>
  <si>
    <t>Boca</t>
  </si>
  <si>
    <t>Codigo</t>
  </si>
  <si>
    <t>Provisión y colocación de servicio integral de lietileno diámetro 0,025 m tipo ALDYL, con accesorios de vinculación mecánica; té derivación domiciliaria con gripper adaptador para gabinete, la llave esférica será para una presión de 4 bar.</t>
  </si>
  <si>
    <t>Anafe electrico, de dos hornallas, marca Domec, linea Euromatic, modelo BH02X, termostato en cada hornalla, acero inoxidable; mediadas frente 29 cm fondo 51cm.; embutido en la mesada.</t>
  </si>
  <si>
    <t>292</t>
  </si>
  <si>
    <t>Capa aisladora horizontal y vertical en muros, se debe tomar una altura de dos hiladas</t>
  </si>
  <si>
    <t>Base de Hº Aº para mastil (doble).</t>
  </si>
  <si>
    <t>Provisión y construcción de nicho medidor de acuerdo a normas de Camuzzi Gas del Sur S.A., con puerta reglamentaria, se tendra en cuenta que dentro de este gabinete se alojaran el medidor y el regulador con sus respectivas llaves.</t>
  </si>
  <si>
    <t>Provisión y colocación de llaves esféricas y accesorios diámetro 1"</t>
  </si>
  <si>
    <t>Artefactos de Gas</t>
  </si>
  <si>
    <t>Provisión e instalación de bocas para tomas  monofásicos, según se indica en planos y E.T.P., incluye cajas, cañerías, cableado, tapa, modulos con puesta a tierra etc.</t>
  </si>
  <si>
    <t>Carpeta niveladora con hidrófugo  e:5cm, Locales nº 1, 2, 3, 4, 5, 6, 7, 8, 9, 11, 12, 13, 14, 15 y 16.</t>
  </si>
  <si>
    <t>Zingueria para equipos: Deflectores de inyeccion directa, incluye rejas de inyeccion de simple deflexion.</t>
  </si>
  <si>
    <t>Señalizacion  externa . Cartel de acero inoxidable con letras caladas con laser.Dimensiones  3,50m x 2,00m</t>
  </si>
  <si>
    <t>s</t>
  </si>
  <si>
    <t>t</t>
  </si>
  <si>
    <t>En  local nº 17 y 18;  Revestimiento de madera de LENGA tablones de 1" tarugados en las gradas (sector para sentarse).La madera tendra tratamiento en secadero y tendra un acabado con laca.</t>
  </si>
  <si>
    <t>Pintura látex exterior para estructura de hormigon visto.</t>
  </si>
  <si>
    <t>Provisión de vehiculo y combustible</t>
  </si>
  <si>
    <t xml:space="preserve">gl </t>
  </si>
  <si>
    <t>Impuesto 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</si>
</sst>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NU$&quot;\ #,##0_);\(&quot;NU$&quot;\ #,##0\)"/>
    <numFmt numFmtId="181" formatCode="&quot;NU$&quot;\ #,##0_);[Red]\(&quot;NU$&quot;\ #,##0\)"/>
    <numFmt numFmtId="182" formatCode="&quot;NU$&quot;\ #,##0.00_);\(&quot;NU$&quot;\ #,##0.00\)"/>
    <numFmt numFmtId="183" formatCode="&quot;NU$&quot;\ #,##0.00_);[Red]\(&quot;NU$&quot;\ #,##0.00\)"/>
    <numFmt numFmtId="184" formatCode="_(&quot;NU$&quot;\ * #,##0_);_(&quot;NU$&quot;\ * \(#,##0\);_(&quot;NU$&quot;\ * &quot;-&quot;_);_(@_)"/>
    <numFmt numFmtId="185" formatCode="_(&quot;NU$&quot;\ * #,##0.00_);_(&quot;NU$&quot;\ * \(#,##0.00\);_(&quot;NU$&quot;\ * &quot;-&quot;??_);_(@_)"/>
    <numFmt numFmtId="186" formatCode="[$$-2C0A]\ #,##0.00"/>
    <numFmt numFmtId="187" formatCode="_-* #,##0.000000000000_-;\-* #,##0.000000000000_-;_-* &quot;-&quot;??_-;_-@_-"/>
    <numFmt numFmtId="188" formatCode="[$$-2C0A]#,##0.00"/>
    <numFmt numFmtId="189" formatCode="_-* #,##0.00_-;\-* #,##0.00_-;_-* &quot;-&quot;??_-;_-@_-"/>
    <numFmt numFmtId="190" formatCode="_-&quot;$&quot;* #,##0.00_-;\-&quot;$&quot;* #,##0.00_-;_-&quot;$&quot;* &quot;-&quot;??_-;_-@_-"/>
    <numFmt numFmtId="191" formatCode="_-* #,##0.00000000_-;\-* #,##0.00000000_-;_-* &quot;-&quot;??_-;_-@_-"/>
    <numFmt numFmtId="192" formatCode="_ * #,##0.000_ ;_ * \-#,##0.000_ ;_ * &quot;-&quot;??_ ;_ @_ "/>
    <numFmt numFmtId="193" formatCode="_ * #,##0.0000_ ;_ * \-#,##0.0000_ ;_ * &quot;-&quot;??_ ;_ @_ "/>
    <numFmt numFmtId="194" formatCode="_ * #,##0.00000_ ;_ * \-#,##0.00000_ ;_ * &quot;-&quot;??_ ;_ @_ "/>
    <numFmt numFmtId="195" formatCode="_ * #,##0.000000_ ;_ * \-#,##0.000000_ ;_ * &quot;-&quot;??_ ;_ @_ "/>
    <numFmt numFmtId="196" formatCode="[$-2C0A]hh:mm:ss\ \a\.m\./\p\.m\."/>
    <numFmt numFmtId="197" formatCode="#,##0.00_ ;\-#,##0.00\ "/>
    <numFmt numFmtId="198" formatCode="&quot;$&quot;\ #,##0.00"/>
    <numFmt numFmtId="199" formatCode=";;;"/>
    <numFmt numFmtId="200" formatCode="0.000%"/>
    <numFmt numFmtId="201" formatCode="0.0000%"/>
    <numFmt numFmtId="202" formatCode="0.0%"/>
    <numFmt numFmtId="203" formatCode="0.0"/>
    <numFmt numFmtId="204" formatCode="0.000"/>
  </numFmts>
  <fonts count="27">
    <font>
      <sz val="10"/>
      <name val="Arial"/>
      <family val="0"/>
    </font>
    <font>
      <b/>
      <sz val="12"/>
      <name val="Arial"/>
      <family val="2"/>
    </font>
    <font>
      <b/>
      <sz val="9"/>
      <name val="Arial"/>
      <family val="2"/>
    </font>
    <font>
      <u val="single"/>
      <sz val="10"/>
      <color indexed="12"/>
      <name val="Arial"/>
      <family val="2"/>
    </font>
    <font>
      <u val="single"/>
      <sz val="10"/>
      <color indexed="36"/>
      <name val="Arial"/>
      <family val="2"/>
    </font>
    <font>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11"/>
      <color indexed="8"/>
      <name val="Times New Roman"/>
      <family val="0"/>
    </font>
    <font>
      <b/>
      <sz val="10"/>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style="medium"/>
      <bottom>
        <color indexed="63"/>
      </bottom>
    </border>
    <border>
      <left style="medium"/>
      <right style="thin"/>
      <top>
        <color indexed="63"/>
      </top>
      <bottom>
        <color indexed="63"/>
      </bottom>
    </border>
    <border>
      <left style="thin"/>
      <right style="thin"/>
      <top style="medium"/>
      <bottom style="hair"/>
    </border>
    <border>
      <left style="thin"/>
      <right style="thin"/>
      <top style="hair"/>
      <bottom style="hair"/>
    </border>
    <border>
      <left style="thin"/>
      <right style="thin"/>
      <top>
        <color indexed="63"/>
      </top>
      <bottom style="hair"/>
    </border>
    <border>
      <left style="medium"/>
      <right style="thin"/>
      <top>
        <color indexed="63"/>
      </top>
      <bottom style="medium"/>
    </border>
    <border>
      <left style="thin"/>
      <right style="thin"/>
      <top style="hair"/>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color indexed="63"/>
      </bottom>
    </border>
    <border>
      <left style="thin"/>
      <right style="thin"/>
      <top style="hair"/>
      <bottom style="medium"/>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style="hair"/>
      <bottom style="hair"/>
    </border>
    <border>
      <left style="medium"/>
      <right style="medium"/>
      <top style="medium"/>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style="medium"/>
      <bottom>
        <color indexed="63"/>
      </botto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226">
    <xf numFmtId="0" fontId="0" fillId="0" borderId="0" xfId="0" applyAlignment="1">
      <alignment/>
    </xf>
    <xf numFmtId="0" fontId="0" fillId="0" borderId="0" xfId="0" applyFont="1" applyFill="1" applyAlignment="1">
      <alignment vertical="center"/>
    </xf>
    <xf numFmtId="0" fontId="0" fillId="0" borderId="0" xfId="0" applyFont="1" applyFill="1" applyBorder="1" applyAlignment="1">
      <alignment vertical="center"/>
    </xf>
    <xf numFmtId="15" fontId="2" fillId="0" borderId="10" xfId="0" applyNumberFormat="1" applyFont="1" applyFill="1" applyBorder="1" applyAlignment="1">
      <alignment horizontal="center" vertical="center"/>
    </xf>
    <xf numFmtId="186" fontId="6" fillId="0" borderId="0" xfId="0" applyNumberFormat="1" applyFont="1" applyFill="1" applyAlignment="1">
      <alignment horizontal="center" vertical="center"/>
    </xf>
    <xf numFmtId="0" fontId="6" fillId="0" borderId="0" xfId="0" applyFont="1" applyFill="1" applyAlignment="1">
      <alignment vertical="center"/>
    </xf>
    <xf numFmtId="170" fontId="6" fillId="0" borderId="0" xfId="50" applyFont="1" applyFill="1" applyBorder="1" applyAlignment="1">
      <alignment vertical="center"/>
    </xf>
    <xf numFmtId="0" fontId="6" fillId="0" borderId="0" xfId="0" applyFont="1" applyFill="1" applyBorder="1" applyAlignment="1">
      <alignment vertical="center"/>
    </xf>
    <xf numFmtId="186" fontId="6" fillId="0" borderId="0" xfId="0" applyNumberFormat="1" applyFont="1" applyFill="1" applyBorder="1" applyAlignment="1">
      <alignment vertical="center"/>
    </xf>
    <xf numFmtId="2" fontId="6" fillId="0" borderId="0" xfId="50" applyNumberFormat="1" applyFont="1" applyFill="1" applyBorder="1" applyAlignment="1">
      <alignment vertical="center"/>
    </xf>
    <xf numFmtId="0" fontId="2" fillId="0" borderId="11" xfId="0" applyFont="1" applyFill="1" applyBorder="1" applyAlignment="1">
      <alignment horizontal="center" vertical="center"/>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justify" vertical="center"/>
    </xf>
    <xf numFmtId="4"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top"/>
    </xf>
    <xf numFmtId="0" fontId="6" fillId="0" borderId="13" xfId="0" applyFont="1" applyFill="1" applyBorder="1" applyAlignment="1">
      <alignment horizontal="justify" vertical="center"/>
    </xf>
    <xf numFmtId="4" fontId="6" fillId="0" borderId="13" xfId="0" applyNumberFormat="1"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12" xfId="0" applyFont="1" applyFill="1" applyBorder="1" applyAlignment="1">
      <alignment horizontal="center"/>
    </xf>
    <xf numFmtId="49" fontId="6" fillId="0" borderId="14" xfId="0" applyNumberFormat="1" applyFont="1" applyFill="1" applyBorder="1" applyAlignment="1">
      <alignment horizontal="center" vertical="top"/>
    </xf>
    <xf numFmtId="0" fontId="6" fillId="0" borderId="14" xfId="0" applyFont="1" applyFill="1" applyBorder="1" applyAlignment="1">
      <alignment horizontal="justify" vertical="center" wrapText="1"/>
    </xf>
    <xf numFmtId="0" fontId="6" fillId="0" borderId="14" xfId="0" applyFont="1" applyFill="1" applyBorder="1" applyAlignment="1">
      <alignment horizontal="center"/>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xf>
    <xf numFmtId="4" fontId="6" fillId="0" borderId="13" xfId="0" applyNumberFormat="1" applyFont="1" applyFill="1" applyBorder="1" applyAlignment="1">
      <alignment horizontal="center"/>
    </xf>
    <xf numFmtId="0" fontId="2" fillId="0" borderId="15" xfId="0" applyFont="1" applyFill="1" applyBorder="1" applyAlignment="1">
      <alignment horizontal="center" vertical="center"/>
    </xf>
    <xf numFmtId="4" fontId="6" fillId="0" borderId="12" xfId="0" applyNumberFormat="1" applyFont="1" applyFill="1" applyBorder="1" applyAlignment="1">
      <alignment horizontal="center"/>
    </xf>
    <xf numFmtId="0" fontId="6" fillId="0" borderId="16" xfId="0" applyFont="1" applyFill="1" applyBorder="1" applyAlignment="1">
      <alignment horizontal="justify" vertical="center" wrapText="1"/>
    </xf>
    <xf numFmtId="10" fontId="0" fillId="0" borderId="0" xfId="0" applyNumberFormat="1" applyFont="1" applyFill="1" applyBorder="1" applyAlignment="1">
      <alignment horizontal="center" vertical="center"/>
    </xf>
    <xf numFmtId="4" fontId="6" fillId="0" borderId="14" xfId="0" applyNumberFormat="1" applyFont="1" applyFill="1" applyBorder="1" applyAlignment="1">
      <alignment horizontal="center"/>
    </xf>
    <xf numFmtId="43" fontId="0" fillId="0" borderId="0" xfId="0" applyNumberFormat="1" applyFont="1" applyFill="1" applyAlignment="1">
      <alignment vertical="center"/>
    </xf>
    <xf numFmtId="49" fontId="6" fillId="0" borderId="17" xfId="0" applyNumberFormat="1" applyFont="1" applyFill="1" applyBorder="1" applyAlignment="1">
      <alignment horizontal="center" vertical="top"/>
    </xf>
    <xf numFmtId="0" fontId="6" fillId="0" borderId="17" xfId="0" applyFont="1" applyFill="1" applyBorder="1" applyAlignment="1">
      <alignment horizontal="justify" vertical="center"/>
    </xf>
    <xf numFmtId="4" fontId="6" fillId="0" borderId="17" xfId="0" applyNumberFormat="1" applyFont="1" applyFill="1" applyBorder="1" applyAlignment="1">
      <alignment horizontal="center"/>
    </xf>
    <xf numFmtId="49" fontId="6" fillId="0" borderId="16" xfId="0" applyNumberFormat="1" applyFont="1" applyFill="1" applyBorder="1" applyAlignment="1">
      <alignment horizontal="center" vertical="top"/>
    </xf>
    <xf numFmtId="4" fontId="6" fillId="0" borderId="16" xfId="0" applyNumberFormat="1" applyFont="1" applyFill="1" applyBorder="1" applyAlignment="1">
      <alignment horizontal="center"/>
    </xf>
    <xf numFmtId="0" fontId="6" fillId="0" borderId="14" xfId="0" applyFont="1" applyFill="1" applyBorder="1" applyAlignment="1">
      <alignment horizontal="justify" vertical="center"/>
    </xf>
    <xf numFmtId="0" fontId="2" fillId="0" borderId="18" xfId="0" applyFont="1" applyFill="1" applyBorder="1" applyAlignment="1">
      <alignment horizontal="center" vertical="center"/>
    </xf>
    <xf numFmtId="2" fontId="6" fillId="0" borderId="0" xfId="0" applyNumberFormat="1" applyFont="1" applyFill="1" applyAlignment="1">
      <alignment vertical="center"/>
    </xf>
    <xf numFmtId="0" fontId="6" fillId="0" borderId="16" xfId="0" applyFont="1" applyFill="1" applyBorder="1" applyAlignment="1">
      <alignment horizontal="justify" vertical="center"/>
    </xf>
    <xf numFmtId="0" fontId="6" fillId="0" borderId="19" xfId="0" applyFont="1" applyFill="1" applyBorder="1" applyAlignment="1">
      <alignment horizontal="justify" vertical="center"/>
    </xf>
    <xf numFmtId="0" fontId="6" fillId="0" borderId="20" xfId="0" applyFont="1" applyFill="1" applyBorder="1" applyAlignment="1">
      <alignment horizontal="justify" vertical="center"/>
    </xf>
    <xf numFmtId="0" fontId="6" fillId="0" borderId="17" xfId="0" applyFont="1" applyFill="1" applyBorder="1" applyAlignment="1">
      <alignment horizontal="justify" vertical="center" wrapText="1"/>
    </xf>
    <xf numFmtId="0" fontId="2" fillId="0" borderId="21" xfId="0" applyFont="1" applyFill="1" applyBorder="1" applyAlignment="1">
      <alignment horizontal="center" vertical="center"/>
    </xf>
    <xf numFmtId="49" fontId="2" fillId="0" borderId="12" xfId="0" applyNumberFormat="1" applyFont="1" applyFill="1" applyBorder="1" applyAlignment="1">
      <alignment horizontal="center" vertical="top"/>
    </xf>
    <xf numFmtId="0" fontId="2" fillId="0" borderId="12" xfId="0" applyFont="1" applyFill="1" applyBorder="1" applyAlignment="1">
      <alignment horizontal="justify" vertical="center"/>
    </xf>
    <xf numFmtId="49" fontId="2" fillId="0" borderId="13" xfId="0" applyNumberFormat="1" applyFont="1" applyFill="1" applyBorder="1" applyAlignment="1">
      <alignment horizontal="center" vertical="top"/>
    </xf>
    <xf numFmtId="0" fontId="2" fillId="0" borderId="13" xfId="0" applyFont="1" applyFill="1" applyBorder="1" applyAlignment="1">
      <alignment horizontal="justify" vertical="center"/>
    </xf>
    <xf numFmtId="0" fontId="2" fillId="0" borderId="22" xfId="0" applyFont="1" applyFill="1" applyBorder="1" applyAlignment="1">
      <alignment horizontal="justify" vertical="center"/>
    </xf>
    <xf numFmtId="4" fontId="6" fillId="0" borderId="23" xfId="0" applyNumberFormat="1" applyFont="1" applyFill="1" applyBorder="1" applyAlignment="1">
      <alignment horizontal="center"/>
    </xf>
    <xf numFmtId="0" fontId="2" fillId="0" borderId="13" xfId="0" applyFont="1" applyFill="1" applyBorder="1" applyAlignment="1">
      <alignment horizontal="center" vertical="center"/>
    </xf>
    <xf numFmtId="0" fontId="0" fillId="0" borderId="0" xfId="0" applyFont="1" applyFill="1" applyBorder="1" applyAlignment="1">
      <alignment horizontal="justify" vertical="center" wrapText="1"/>
    </xf>
    <xf numFmtId="49" fontId="6" fillId="0" borderId="19" xfId="0" applyNumberFormat="1" applyFont="1" applyFill="1" applyBorder="1" applyAlignment="1">
      <alignment horizontal="center" vertical="top"/>
    </xf>
    <xf numFmtId="171" fontId="6" fillId="0" borderId="0" xfId="48" applyFont="1" applyFill="1" applyBorder="1" applyAlignment="1">
      <alignment horizontal="center"/>
    </xf>
    <xf numFmtId="0" fontId="6" fillId="0" borderId="13" xfId="0" applyFont="1" applyFill="1" applyBorder="1" applyAlignment="1">
      <alignment horizontal="center" vertical="top"/>
    </xf>
    <xf numFmtId="0" fontId="6" fillId="0" borderId="24" xfId="0" applyFont="1" applyFill="1" applyBorder="1" applyAlignment="1">
      <alignment horizontal="center" vertical="top"/>
    </xf>
    <xf numFmtId="0" fontId="6" fillId="0" borderId="24" xfId="0" applyFont="1" applyFill="1" applyBorder="1" applyAlignment="1">
      <alignment horizontal="justify" vertical="center"/>
    </xf>
    <xf numFmtId="0" fontId="6" fillId="0" borderId="24" xfId="0" applyFont="1" applyFill="1" applyBorder="1" applyAlignment="1">
      <alignment horizontal="center"/>
    </xf>
    <xf numFmtId="0" fontId="6" fillId="0" borderId="19" xfId="0" applyFont="1" applyFill="1" applyBorder="1" applyAlignment="1">
      <alignment horizontal="center" vertical="top"/>
    </xf>
    <xf numFmtId="0" fontId="6" fillId="0" borderId="19" xfId="0" applyFont="1" applyFill="1" applyBorder="1" applyAlignment="1">
      <alignment horizontal="center"/>
    </xf>
    <xf numFmtId="0" fontId="6" fillId="0" borderId="20" xfId="0" applyFont="1" applyFill="1" applyBorder="1" applyAlignment="1">
      <alignment horizontal="center" vertical="top"/>
    </xf>
    <xf numFmtId="0" fontId="6" fillId="0" borderId="20" xfId="0" applyFont="1" applyFill="1" applyBorder="1" applyAlignment="1">
      <alignment horizontal="center"/>
    </xf>
    <xf numFmtId="0" fontId="6" fillId="0" borderId="25" xfId="0" applyFont="1" applyFill="1" applyBorder="1" applyAlignment="1">
      <alignment vertical="center"/>
    </xf>
    <xf numFmtId="0" fontId="6" fillId="0" borderId="26" xfId="0" applyFont="1" applyFill="1" applyBorder="1" applyAlignment="1">
      <alignment vertical="center"/>
    </xf>
    <xf numFmtId="10" fontId="2" fillId="0" borderId="27" xfId="50" applyNumberFormat="1"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170" fontId="6" fillId="0" borderId="0" xfId="50" applyFont="1" applyFill="1" applyAlignment="1">
      <alignment vertical="center"/>
    </xf>
    <xf numFmtId="10" fontId="6" fillId="0" borderId="0" xfId="50" applyNumberFormat="1" applyFont="1" applyFill="1" applyAlignment="1">
      <alignment vertical="center"/>
    </xf>
    <xf numFmtId="10" fontId="6" fillId="0" borderId="0" xfId="0" applyNumberFormat="1" applyFont="1" applyFill="1" applyAlignment="1">
      <alignment vertical="center"/>
    </xf>
    <xf numFmtId="49" fontId="6" fillId="0" borderId="0" xfId="0" applyNumberFormat="1" applyFont="1" applyFill="1" applyAlignment="1">
      <alignment horizontal="center" vertical="center"/>
    </xf>
    <xf numFmtId="4" fontId="6" fillId="0" borderId="0" xfId="0" applyNumberFormat="1" applyFont="1" applyFill="1" applyAlignment="1">
      <alignment horizontal="center" vertical="center"/>
    </xf>
    <xf numFmtId="171" fontId="6" fillId="0" borderId="0" xfId="48" applyFont="1" applyFill="1" applyAlignment="1">
      <alignment horizontal="center" vertical="center"/>
    </xf>
    <xf numFmtId="10" fontId="6" fillId="0" borderId="0" xfId="50" applyNumberFormat="1" applyFont="1" applyFill="1" applyBorder="1" applyAlignment="1">
      <alignment vertical="center"/>
    </xf>
    <xf numFmtId="49"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171" fontId="6" fillId="0" borderId="0" xfId="48" applyFont="1" applyFill="1" applyBorder="1" applyAlignment="1">
      <alignment horizontal="center"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9" xfId="0" applyFont="1" applyFill="1" applyBorder="1" applyAlignment="1">
      <alignment horizontal="justify" vertical="center" wrapText="1"/>
    </xf>
    <xf numFmtId="4" fontId="6" fillId="0" borderId="19" xfId="0" applyNumberFormat="1" applyFont="1" applyFill="1" applyBorder="1" applyAlignment="1">
      <alignment horizontal="center"/>
    </xf>
    <xf numFmtId="0" fontId="6" fillId="0" borderId="3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0" xfId="0" applyFont="1" applyFill="1" applyBorder="1" applyAlignment="1">
      <alignment horizontal="center" vertical="center"/>
    </xf>
    <xf numFmtId="2" fontId="2" fillId="0" borderId="38" xfId="50" applyNumberFormat="1" applyFont="1" applyFill="1" applyBorder="1" applyAlignment="1">
      <alignment horizontal="center"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2" fillId="24" borderId="45" xfId="0" applyFont="1" applyFill="1" applyBorder="1" applyAlignment="1">
      <alignment horizontal="center" vertical="center"/>
    </xf>
    <xf numFmtId="49" fontId="2" fillId="24" borderId="46" xfId="0" applyNumberFormat="1" applyFont="1" applyFill="1" applyBorder="1" applyAlignment="1">
      <alignment horizontal="center" vertical="center"/>
    </xf>
    <xf numFmtId="0" fontId="2" fillId="24" borderId="47" xfId="0" applyFont="1" applyFill="1" applyBorder="1" applyAlignment="1">
      <alignment horizontal="center" vertical="center"/>
    </xf>
    <xf numFmtId="0" fontId="2" fillId="24" borderId="48" xfId="0" applyFont="1" applyFill="1" applyBorder="1" applyAlignment="1">
      <alignment horizontal="justify" vertical="center"/>
    </xf>
    <xf numFmtId="4" fontId="6" fillId="24" borderId="49" xfId="0" applyNumberFormat="1" applyFont="1" applyFill="1" applyBorder="1" applyAlignment="1">
      <alignment horizontal="center" vertical="center"/>
    </xf>
    <xf numFmtId="49" fontId="2" fillId="24" borderId="46" xfId="0" applyNumberFormat="1" applyFont="1" applyFill="1" applyBorder="1" applyAlignment="1">
      <alignment horizontal="center" vertical="top"/>
    </xf>
    <xf numFmtId="0" fontId="6" fillId="24" borderId="47" xfId="0" applyFont="1" applyFill="1" applyBorder="1" applyAlignment="1">
      <alignment horizontal="center" vertical="center"/>
    </xf>
    <xf numFmtId="0" fontId="6" fillId="24" borderId="49" xfId="0" applyFont="1" applyFill="1" applyBorder="1" applyAlignment="1">
      <alignment horizontal="center" vertical="center"/>
    </xf>
    <xf numFmtId="4" fontId="6" fillId="24" borderId="49" xfId="0" applyNumberFormat="1" applyFont="1" applyFill="1" applyBorder="1" applyAlignment="1">
      <alignment horizontal="center"/>
    </xf>
    <xf numFmtId="49" fontId="2" fillId="24" borderId="45" xfId="0" applyNumberFormat="1" applyFont="1" applyFill="1" applyBorder="1" applyAlignment="1">
      <alignment horizontal="center" vertical="center"/>
    </xf>
    <xf numFmtId="49" fontId="6" fillId="24" borderId="47" xfId="0" applyNumberFormat="1" applyFont="1" applyFill="1" applyBorder="1" applyAlignment="1">
      <alignment horizontal="center" vertical="center"/>
    </xf>
    <xf numFmtId="0" fontId="2" fillId="24" borderId="50" xfId="0" applyFont="1" applyFill="1" applyBorder="1" applyAlignment="1">
      <alignment horizontal="center" vertical="center"/>
    </xf>
    <xf numFmtId="0" fontId="2" fillId="24" borderId="46" xfId="0" applyFont="1" applyFill="1" applyBorder="1" applyAlignment="1">
      <alignment horizontal="justify" vertical="center"/>
    </xf>
    <xf numFmtId="4" fontId="6" fillId="24" borderId="46" xfId="0" applyNumberFormat="1" applyFont="1" applyFill="1" applyBorder="1" applyAlignment="1">
      <alignment horizontal="center"/>
    </xf>
    <xf numFmtId="0" fontId="6" fillId="24" borderId="46" xfId="0" applyFont="1" applyFill="1" applyBorder="1" applyAlignment="1">
      <alignment horizontal="center" vertical="center"/>
    </xf>
    <xf numFmtId="0" fontId="2" fillId="24" borderId="48" xfId="0" applyFont="1" applyFill="1" applyBorder="1" applyAlignment="1">
      <alignment vertical="center"/>
    </xf>
    <xf numFmtId="186" fontId="2" fillId="0" borderId="38" xfId="50" applyNumberFormat="1" applyFont="1" applyFill="1" applyBorder="1" applyAlignment="1">
      <alignment horizontal="center" vertical="center"/>
    </xf>
    <xf numFmtId="4" fontId="6" fillId="24" borderId="49" xfId="48" applyNumberFormat="1" applyFont="1" applyFill="1" applyBorder="1" applyAlignment="1">
      <alignment horizontal="center" vertical="center"/>
    </xf>
    <xf numFmtId="4" fontId="6" fillId="24" borderId="49" xfId="50" applyNumberFormat="1" applyFont="1" applyFill="1" applyBorder="1" applyAlignment="1">
      <alignment vertical="center"/>
    </xf>
    <xf numFmtId="4" fontId="6" fillId="24" borderId="49" xfId="0" applyNumberFormat="1" applyFont="1" applyFill="1" applyBorder="1" applyAlignment="1">
      <alignment vertical="center"/>
    </xf>
    <xf numFmtId="4" fontId="6" fillId="24" borderId="51" xfId="0" applyNumberFormat="1" applyFont="1" applyFill="1" applyBorder="1" applyAlignment="1">
      <alignment vertical="center"/>
    </xf>
    <xf numFmtId="4" fontId="6" fillId="24" borderId="38" xfId="0" applyNumberFormat="1" applyFont="1" applyFill="1" applyBorder="1" applyAlignment="1">
      <alignment vertical="center"/>
    </xf>
    <xf numFmtId="4" fontId="6" fillId="0" borderId="12" xfId="48" applyNumberFormat="1" applyFont="1" applyFill="1" applyBorder="1" applyAlignment="1">
      <alignment horizontal="right"/>
    </xf>
    <xf numFmtId="4" fontId="6" fillId="0" borderId="12" xfId="0" applyNumberFormat="1" applyFont="1" applyFill="1" applyBorder="1" applyAlignment="1">
      <alignment/>
    </xf>
    <xf numFmtId="4" fontId="6" fillId="0" borderId="13" xfId="0" applyNumberFormat="1" applyFont="1" applyFill="1" applyBorder="1" applyAlignment="1">
      <alignment/>
    </xf>
    <xf numFmtId="4" fontId="6" fillId="0" borderId="19" xfId="0" applyNumberFormat="1" applyFont="1" applyFill="1" applyBorder="1" applyAlignment="1">
      <alignment vertical="center"/>
    </xf>
    <xf numFmtId="4" fontId="6" fillId="0" borderId="52" xfId="0" applyNumberFormat="1" applyFont="1" applyFill="1" applyBorder="1" applyAlignment="1">
      <alignment vertical="center"/>
    </xf>
    <xf numFmtId="4" fontId="6" fillId="0" borderId="13" xfId="48" applyNumberFormat="1" applyFont="1" applyFill="1" applyBorder="1" applyAlignment="1">
      <alignment horizontal="right"/>
    </xf>
    <xf numFmtId="4" fontId="6" fillId="24" borderId="49" xfId="48" applyNumberFormat="1" applyFont="1" applyFill="1" applyBorder="1" applyAlignment="1">
      <alignment horizontal="right"/>
    </xf>
    <xf numFmtId="4" fontId="6" fillId="24" borderId="49" xfId="48" applyNumberFormat="1" applyFont="1" applyFill="1" applyBorder="1" applyAlignment="1">
      <alignment horizontal="center"/>
    </xf>
    <xf numFmtId="4" fontId="6" fillId="0" borderId="53" xfId="0" applyNumberFormat="1" applyFont="1" applyFill="1" applyBorder="1" applyAlignment="1">
      <alignment vertical="center"/>
    </xf>
    <xf numFmtId="4" fontId="6" fillId="24" borderId="49" xfId="0" applyNumberFormat="1" applyFont="1" applyFill="1" applyBorder="1" applyAlignment="1">
      <alignment horizontal="right"/>
    </xf>
    <xf numFmtId="4" fontId="6" fillId="24" borderId="49" xfId="0" applyNumberFormat="1" applyFont="1" applyFill="1" applyBorder="1" applyAlignment="1">
      <alignment/>
    </xf>
    <xf numFmtId="4" fontId="6" fillId="24" borderId="47" xfId="0" applyNumberFormat="1" applyFont="1" applyFill="1" applyBorder="1" applyAlignment="1">
      <alignment/>
    </xf>
    <xf numFmtId="4" fontId="6" fillId="24" borderId="54" xfId="0" applyNumberFormat="1" applyFont="1" applyFill="1" applyBorder="1" applyAlignment="1">
      <alignment vertical="center"/>
    </xf>
    <xf numFmtId="4" fontId="6" fillId="0" borderId="12" xfId="0" applyNumberFormat="1" applyFont="1" applyFill="1" applyBorder="1" applyAlignment="1">
      <alignment horizontal="right"/>
    </xf>
    <xf numFmtId="4" fontId="6" fillId="0" borderId="17" xfId="0" applyNumberFormat="1" applyFont="1" applyFill="1" applyBorder="1" applyAlignment="1">
      <alignment vertical="center"/>
    </xf>
    <xf numFmtId="4" fontId="6" fillId="0" borderId="14" xfId="0" applyNumberFormat="1" applyFont="1" applyFill="1" applyBorder="1" applyAlignment="1">
      <alignment horizontal="right"/>
    </xf>
    <xf numFmtId="4" fontId="6" fillId="0" borderId="14" xfId="0" applyNumberFormat="1" applyFont="1" applyFill="1" applyBorder="1" applyAlignment="1">
      <alignment/>
    </xf>
    <xf numFmtId="4" fontId="6" fillId="0" borderId="13" xfId="0" applyNumberFormat="1" applyFont="1" applyFill="1" applyBorder="1" applyAlignment="1">
      <alignment horizontal="right"/>
    </xf>
    <xf numFmtId="4" fontId="6" fillId="0" borderId="16" xfId="0" applyNumberFormat="1" applyFont="1" applyFill="1" applyBorder="1" applyAlignment="1">
      <alignment/>
    </xf>
    <xf numFmtId="4" fontId="6" fillId="0" borderId="19" xfId="0" applyNumberFormat="1" applyFont="1" applyFill="1" applyBorder="1" applyAlignment="1">
      <alignment/>
    </xf>
    <xf numFmtId="4" fontId="6" fillId="0" borderId="24" xfId="0" applyNumberFormat="1" applyFont="1" applyFill="1" applyBorder="1" applyAlignment="1">
      <alignment/>
    </xf>
    <xf numFmtId="4" fontId="6" fillId="0" borderId="19" xfId="48" applyNumberFormat="1" applyFont="1" applyFill="1" applyBorder="1" applyAlignment="1">
      <alignment horizontal="right"/>
    </xf>
    <xf numFmtId="4" fontId="6" fillId="0" borderId="43" xfId="0" applyNumberFormat="1" applyFont="1" applyFill="1" applyBorder="1" applyAlignment="1">
      <alignment/>
    </xf>
    <xf numFmtId="4" fontId="6" fillId="0" borderId="17" xfId="0" applyNumberFormat="1" applyFont="1" applyFill="1" applyBorder="1" applyAlignment="1">
      <alignment/>
    </xf>
    <xf numFmtId="4" fontId="0" fillId="0" borderId="52" xfId="0" applyNumberFormat="1" applyFont="1" applyFill="1" applyBorder="1" applyAlignment="1">
      <alignment horizontal="center" vertical="center"/>
    </xf>
    <xf numFmtId="4" fontId="6" fillId="0" borderId="14" xfId="48" applyNumberFormat="1" applyFont="1" applyFill="1" applyBorder="1" applyAlignment="1">
      <alignment horizontal="right"/>
    </xf>
    <xf numFmtId="4" fontId="6" fillId="0" borderId="55" xfId="0" applyNumberFormat="1" applyFont="1" applyFill="1" applyBorder="1" applyAlignment="1">
      <alignment/>
    </xf>
    <xf numFmtId="4" fontId="6" fillId="0" borderId="55" xfId="0" applyNumberFormat="1" applyFont="1" applyFill="1" applyBorder="1" applyAlignment="1">
      <alignment horizontal="center" vertical="center"/>
    </xf>
    <xf numFmtId="4" fontId="6" fillId="0" borderId="56"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53" xfId="0" applyNumberFormat="1" applyFont="1" applyFill="1" applyBorder="1" applyAlignment="1">
      <alignment horizontal="center" vertical="center"/>
    </xf>
    <xf numFmtId="4" fontId="6" fillId="0" borderId="52" xfId="0" applyNumberFormat="1" applyFont="1" applyFill="1" applyBorder="1" applyAlignment="1">
      <alignment horizontal="center" vertical="center"/>
    </xf>
    <xf numFmtId="4" fontId="6" fillId="0" borderId="16" xfId="48" applyNumberFormat="1" applyFont="1" applyFill="1" applyBorder="1" applyAlignment="1">
      <alignment horizontal="right"/>
    </xf>
    <xf numFmtId="4" fontId="6" fillId="0" borderId="17" xfId="48" applyNumberFormat="1" applyFont="1" applyFill="1" applyBorder="1" applyAlignment="1">
      <alignment horizontal="right"/>
    </xf>
    <xf numFmtId="4" fontId="0" fillId="0" borderId="19" xfId="0" applyNumberFormat="1" applyFont="1" applyFill="1" applyBorder="1" applyAlignment="1">
      <alignment horizontal="center" vertical="center"/>
    </xf>
    <xf numFmtId="4" fontId="6" fillId="0" borderId="40" xfId="0" applyNumberFormat="1" applyFont="1" applyFill="1" applyBorder="1" applyAlignment="1">
      <alignment/>
    </xf>
    <xf numFmtId="4" fontId="24" fillId="0" borderId="12" xfId="0" applyNumberFormat="1" applyFont="1" applyFill="1" applyBorder="1" applyAlignment="1">
      <alignment/>
    </xf>
    <xf numFmtId="4" fontId="6" fillId="0" borderId="10" xfId="0" applyNumberFormat="1" applyFont="1" applyFill="1" applyBorder="1" applyAlignment="1">
      <alignment horizontal="center" vertical="center"/>
    </xf>
    <xf numFmtId="4" fontId="24" fillId="0" borderId="13" xfId="0" applyNumberFormat="1" applyFont="1" applyFill="1" applyBorder="1" applyAlignment="1">
      <alignment/>
    </xf>
    <xf numFmtId="4" fontId="6" fillId="0" borderId="27" xfId="0" applyNumberFormat="1" applyFont="1" applyFill="1" applyBorder="1" applyAlignment="1">
      <alignment horizontal="center" vertical="center"/>
    </xf>
    <xf numFmtId="4" fontId="24" fillId="0" borderId="16" xfId="0" applyNumberFormat="1" applyFont="1" applyFill="1" applyBorder="1" applyAlignment="1">
      <alignment/>
    </xf>
    <xf numFmtId="4" fontId="0" fillId="0" borderId="27" xfId="0" applyNumberFormat="1" applyFont="1" applyFill="1" applyBorder="1" applyAlignment="1">
      <alignment horizontal="center" vertical="center"/>
    </xf>
    <xf numFmtId="4" fontId="6" fillId="0" borderId="12" xfId="48" applyNumberFormat="1" applyFont="1" applyFill="1" applyBorder="1" applyAlignment="1" applyProtection="1">
      <alignment horizontal="right"/>
      <protection hidden="1"/>
    </xf>
    <xf numFmtId="4" fontId="6" fillId="0" borderId="12" xfId="48" applyNumberFormat="1" applyFont="1" applyFill="1" applyBorder="1" applyAlignment="1" applyProtection="1">
      <alignment horizontal="center"/>
      <protection hidden="1"/>
    </xf>
    <xf numFmtId="4" fontId="6" fillId="0" borderId="27" xfId="0" applyNumberFormat="1" applyFont="1" applyFill="1" applyBorder="1" applyAlignment="1">
      <alignment vertical="center"/>
    </xf>
    <xf numFmtId="4" fontId="6" fillId="0" borderId="13" xfId="48" applyNumberFormat="1" applyFont="1" applyFill="1" applyBorder="1" applyAlignment="1" applyProtection="1">
      <alignment horizontal="right"/>
      <protection hidden="1"/>
    </xf>
    <xf numFmtId="4" fontId="6" fillId="0" borderId="13" xfId="48" applyNumberFormat="1" applyFont="1" applyFill="1" applyBorder="1" applyAlignment="1">
      <alignment horizontal="center"/>
    </xf>
    <xf numFmtId="4" fontId="6" fillId="0" borderId="23" xfId="48" applyNumberFormat="1" applyFont="1" applyFill="1" applyBorder="1" applyAlignment="1">
      <alignment horizontal="right"/>
    </xf>
    <xf numFmtId="4" fontId="6" fillId="0" borderId="23" xfId="48" applyNumberFormat="1" applyFont="1" applyFill="1" applyBorder="1" applyAlignment="1">
      <alignment horizontal="center"/>
    </xf>
    <xf numFmtId="4" fontId="2" fillId="0" borderId="35" xfId="0" applyNumberFormat="1" applyFont="1" applyFill="1" applyBorder="1" applyAlignment="1">
      <alignment horizontal="center" vertical="center"/>
    </xf>
    <xf numFmtId="4" fontId="2" fillId="0" borderId="27"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52" xfId="0" applyNumberFormat="1" applyFont="1" applyFill="1" applyBorder="1" applyAlignment="1">
      <alignment horizontal="center" vertical="center"/>
    </xf>
    <xf numFmtId="4" fontId="6" fillId="0" borderId="16" xfId="48" applyNumberFormat="1" applyFont="1" applyFill="1" applyBorder="1" applyAlignment="1" applyProtection="1">
      <alignment horizontal="right"/>
      <protection hidden="1"/>
    </xf>
    <xf numFmtId="4" fontId="0" fillId="0" borderId="27" xfId="0" applyNumberFormat="1" applyFont="1" applyFill="1" applyBorder="1" applyAlignment="1">
      <alignment vertical="center"/>
    </xf>
    <xf numFmtId="4" fontId="6" fillId="24" borderId="46" xfId="48" applyNumberFormat="1" applyFont="1" applyFill="1" applyBorder="1" applyAlignment="1">
      <alignment horizontal="right"/>
    </xf>
    <xf numFmtId="4" fontId="6" fillId="24" borderId="46" xfId="48" applyNumberFormat="1" applyFont="1" applyFill="1" applyBorder="1" applyAlignment="1">
      <alignment horizontal="center"/>
    </xf>
    <xf numFmtId="4" fontId="6" fillId="0" borderId="12" xfId="48" applyNumberFormat="1" applyFont="1" applyFill="1" applyBorder="1" applyAlignment="1">
      <alignment horizontal="center"/>
    </xf>
    <xf numFmtId="4" fontId="6" fillId="0" borderId="17" xfId="48" applyNumberFormat="1" applyFont="1" applyFill="1" applyBorder="1" applyAlignment="1">
      <alignment horizontal="center"/>
    </xf>
    <xf numFmtId="4" fontId="24" fillId="0" borderId="14" xfId="0" applyNumberFormat="1" applyFont="1" applyFill="1" applyBorder="1" applyAlignment="1">
      <alignment/>
    </xf>
    <xf numFmtId="4" fontId="0" fillId="0" borderId="52" xfId="0" applyNumberFormat="1" applyFont="1" applyFill="1" applyBorder="1" applyAlignment="1">
      <alignment vertical="center"/>
    </xf>
    <xf numFmtId="4" fontId="6" fillId="0" borderId="20" xfId="0" applyNumberFormat="1" applyFont="1" applyFill="1" applyBorder="1" applyAlignment="1">
      <alignment/>
    </xf>
    <xf numFmtId="4" fontId="6" fillId="0" borderId="24" xfId="48" applyNumberFormat="1" applyFont="1" applyFill="1" applyBorder="1" applyAlignment="1">
      <alignment horizontal="center"/>
    </xf>
    <xf numFmtId="4" fontId="6" fillId="24" borderId="47" xfId="48" applyNumberFormat="1" applyFont="1" applyFill="1" applyBorder="1" applyAlignment="1">
      <alignment horizontal="center"/>
    </xf>
    <xf numFmtId="4" fontId="6" fillId="0" borderId="19" xfId="48" applyNumberFormat="1" applyFont="1" applyFill="1" applyBorder="1" applyAlignment="1">
      <alignment horizontal="center"/>
    </xf>
    <xf numFmtId="4" fontId="6" fillId="0" borderId="20" xfId="48" applyNumberFormat="1" applyFont="1" applyFill="1" applyBorder="1" applyAlignment="1">
      <alignment horizontal="center"/>
    </xf>
    <xf numFmtId="4" fontId="6" fillId="0" borderId="56" xfId="0" applyNumberFormat="1" applyFont="1" applyFill="1" applyBorder="1" applyAlignment="1">
      <alignment vertical="center"/>
    </xf>
    <xf numFmtId="4" fontId="2" fillId="0" borderId="57" xfId="50" applyNumberFormat="1" applyFont="1" applyFill="1" applyBorder="1" applyAlignment="1">
      <alignment vertical="center"/>
    </xf>
    <xf numFmtId="4" fontId="2" fillId="0" borderId="58" xfId="50" applyNumberFormat="1" applyFont="1" applyFill="1" applyBorder="1" applyAlignment="1">
      <alignment vertical="center"/>
    </xf>
    <xf numFmtId="4" fontId="2" fillId="0" borderId="59" xfId="50" applyNumberFormat="1" applyFont="1" applyFill="1" applyBorder="1" applyAlignment="1">
      <alignment vertical="center"/>
    </xf>
    <xf numFmtId="0" fontId="6" fillId="0" borderId="0" xfId="0" applyFont="1" applyFill="1" applyAlignment="1">
      <alignment vertical="center"/>
    </xf>
    <xf numFmtId="0" fontId="6" fillId="0" borderId="0" xfId="0" applyNumberFormat="1" applyFont="1" applyFill="1" applyAlignment="1">
      <alignment vertical="center"/>
    </xf>
    <xf numFmtId="0" fontId="6" fillId="0" borderId="13" xfId="0" applyFont="1" applyFill="1" applyBorder="1" applyAlignment="1">
      <alignment horizontal="justify" vertical="center"/>
    </xf>
    <xf numFmtId="4" fontId="6" fillId="0" borderId="13" xfId="0" applyNumberFormat="1" applyFont="1" applyFill="1" applyBorder="1" applyAlignment="1">
      <alignment horizontal="center" vertical="center"/>
    </xf>
    <xf numFmtId="0" fontId="6" fillId="0" borderId="6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61" xfId="0" applyNumberFormat="1" applyFont="1" applyFill="1" applyBorder="1" applyAlignment="1">
      <alignment horizontal="left" vertical="center"/>
    </xf>
    <xf numFmtId="0" fontId="2" fillId="0" borderId="62" xfId="0" applyNumberFormat="1" applyFont="1" applyFill="1" applyBorder="1" applyAlignment="1">
      <alignment horizontal="left" vertical="center"/>
    </xf>
    <xf numFmtId="0" fontId="2" fillId="0" borderId="33" xfId="0" applyNumberFormat="1" applyFont="1" applyFill="1" applyBorder="1" applyAlignment="1">
      <alignment horizontal="left" vertical="center"/>
    </xf>
    <xf numFmtId="4" fontId="6" fillId="0" borderId="19" xfId="0" applyNumberFormat="1" applyFont="1" applyFill="1" applyBorder="1" applyAlignment="1">
      <alignment horizontal="center"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5" xfId="0" applyNumberFormat="1" applyFont="1" applyFill="1" applyBorder="1" applyAlignment="1">
      <alignment horizontal="left" vertical="center"/>
    </xf>
    <xf numFmtId="0" fontId="2" fillId="0" borderId="66" xfId="0" applyNumberFormat="1" applyFont="1" applyFill="1" applyBorder="1" applyAlignment="1">
      <alignment horizontal="left" vertical="center"/>
    </xf>
    <xf numFmtId="0" fontId="2" fillId="0" borderId="32" xfId="0" applyNumberFormat="1" applyFont="1" applyFill="1" applyBorder="1" applyAlignment="1">
      <alignment horizontal="left" vertical="center"/>
    </xf>
    <xf numFmtId="0" fontId="6" fillId="0" borderId="6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2" xfId="0" applyFont="1" applyFill="1" applyBorder="1" applyAlignment="1">
      <alignment horizontal="center" vertical="center"/>
    </xf>
    <xf numFmtId="10" fontId="2" fillId="16" borderId="67" xfId="50" applyNumberFormat="1" applyFont="1" applyFill="1" applyBorder="1" applyAlignment="1">
      <alignment horizontal="center" vertical="center"/>
    </xf>
    <xf numFmtId="10" fontId="2" fillId="16" borderId="68" xfId="50" applyNumberFormat="1" applyFont="1" applyFill="1" applyBorder="1" applyAlignment="1">
      <alignment horizontal="center" vertical="center"/>
    </xf>
    <xf numFmtId="0" fontId="1" fillId="0" borderId="69" xfId="0" applyFont="1" applyFill="1" applyBorder="1" applyAlignment="1">
      <alignment horizontal="center" vertical="center"/>
    </xf>
    <xf numFmtId="0" fontId="1" fillId="0" borderId="60" xfId="0" applyFont="1" applyFill="1" applyBorder="1" applyAlignment="1">
      <alignment horizontal="center" vertical="center"/>
    </xf>
    <xf numFmtId="49" fontId="2" fillId="16" borderId="67" xfId="0" applyNumberFormat="1" applyFont="1" applyFill="1" applyBorder="1" applyAlignment="1">
      <alignment horizontal="center" vertical="center" wrapText="1"/>
    </xf>
    <xf numFmtId="49" fontId="2" fillId="16" borderId="68" xfId="0" applyNumberFormat="1" applyFont="1" applyFill="1" applyBorder="1" applyAlignment="1">
      <alignment horizontal="center" vertical="center" wrapText="1"/>
    </xf>
    <xf numFmtId="49" fontId="2" fillId="16" borderId="67" xfId="0" applyNumberFormat="1" applyFont="1" applyFill="1" applyBorder="1" applyAlignment="1">
      <alignment horizontal="center" vertical="center"/>
    </xf>
    <xf numFmtId="49" fontId="2" fillId="16" borderId="68" xfId="0" applyNumberFormat="1" applyFont="1" applyFill="1" applyBorder="1" applyAlignment="1">
      <alignment horizontal="center" vertical="center"/>
    </xf>
    <xf numFmtId="0" fontId="2" fillId="16" borderId="67" xfId="0" applyFont="1" applyFill="1" applyBorder="1" applyAlignment="1">
      <alignment horizontal="center" vertical="center"/>
    </xf>
    <xf numFmtId="0" fontId="2" fillId="16" borderId="68" xfId="0" applyFont="1" applyFill="1" applyBorder="1" applyAlignment="1">
      <alignment horizontal="center" vertical="center"/>
    </xf>
    <xf numFmtId="170" fontId="2" fillId="16" borderId="67" xfId="50" applyFont="1" applyFill="1" applyBorder="1" applyAlignment="1">
      <alignment horizontal="center" vertical="center" wrapText="1"/>
    </xf>
    <xf numFmtId="0" fontId="6" fillId="16" borderId="68" xfId="0" applyFont="1" applyFill="1" applyBorder="1" applyAlignment="1">
      <alignment horizontal="center" vertical="center" wrapText="1"/>
    </xf>
    <xf numFmtId="170" fontId="2" fillId="16" borderId="67" xfId="50" applyFont="1" applyFill="1" applyBorder="1" applyAlignment="1">
      <alignment horizontal="center" vertical="center"/>
    </xf>
    <xf numFmtId="170" fontId="2" fillId="16" borderId="68" xfId="50" applyFont="1" applyFill="1" applyBorder="1" applyAlignment="1">
      <alignment horizontal="center" vertical="center"/>
    </xf>
    <xf numFmtId="4" fontId="2" fillId="16" borderId="67" xfId="0" applyNumberFormat="1" applyFont="1" applyFill="1" applyBorder="1" applyAlignment="1">
      <alignment horizontal="center" vertical="center"/>
    </xf>
    <xf numFmtId="4" fontId="2" fillId="16" borderId="68"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85725</xdr:rowOff>
    </xdr:from>
    <xdr:to>
      <xdr:col>7</xdr:col>
      <xdr:colOff>781050</xdr:colOff>
      <xdr:row>0</xdr:row>
      <xdr:rowOff>676275</xdr:rowOff>
    </xdr:to>
    <xdr:sp fLocksText="0">
      <xdr:nvSpPr>
        <xdr:cNvPr id="1" name="Text Box 2"/>
        <xdr:cNvSpPr txBox="1">
          <a:spLocks noChangeArrowheads="1"/>
        </xdr:cNvSpPr>
      </xdr:nvSpPr>
      <xdr:spPr>
        <a:xfrm>
          <a:off x="923925" y="85725"/>
          <a:ext cx="6334125" cy="590550"/>
        </a:xfrm>
        <a:prstGeom prst="rect">
          <a:avLst/>
        </a:prstGeom>
        <a:solidFill>
          <a:srgbClr val="FFFFFF"/>
        </a:solidFill>
        <a:ln w="9398" cmpd="sng">
          <a:noFill/>
        </a:ln>
      </xdr:spPr>
      <xdr:txBody>
        <a:bodyPr vertOverflow="clip" wrap="square" lIns="20160" tIns="20160" rIns="20160" bIns="20160"/>
        <a:p>
          <a:pPr algn="ctr">
            <a:defRPr/>
          </a:pPr>
          <a:r>
            <a:rPr lang="en-US" cap="none" sz="1100" b="1" i="0" u="none" baseline="0">
              <a:solidFill>
                <a:srgbClr val="000000"/>
              </a:solidFill>
              <a:latin typeface="Times New Roman"/>
              <a:ea typeface="Times New Roman"/>
              <a:cs typeface="Times New Roman"/>
            </a:rPr>
            <a:t>Gobierno</a:t>
          </a:r>
          <a:r>
            <a:rPr lang="en-US" cap="none" sz="1100" b="1" i="0" u="none" baseline="0">
              <a:solidFill>
                <a:srgbClr val="000000"/>
              </a:solidFill>
              <a:latin typeface="Times New Roman"/>
              <a:ea typeface="Times New Roman"/>
              <a:cs typeface="Times New Roman"/>
            </a:rPr>
            <a:t> de la </a:t>
          </a:r>
          <a:r>
            <a:rPr lang="en-US" cap="none" sz="1100" b="1" i="0" u="none" baseline="0">
              <a:solidFill>
                <a:srgbClr val="000000"/>
              </a:solidFill>
              <a:latin typeface="Times New Roman"/>
              <a:ea typeface="Times New Roman"/>
              <a:cs typeface="Times New Roman"/>
            </a:rPr>
            <a:t>Provincia de Tierra del Fuego, Antártida e Islas del Atlántico Sur</a:t>
          </a:r>
          <a:r>
            <a:rPr lang="en-US" cap="none" sz="10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Ministerio de Infraestructura, Obras y Servicios Públicos</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SUBSECRETARÍA DE OBRAS  ZONA NORTE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85725</xdr:rowOff>
    </xdr:from>
    <xdr:to>
      <xdr:col>7</xdr:col>
      <xdr:colOff>781050</xdr:colOff>
      <xdr:row>0</xdr:row>
      <xdr:rowOff>676275</xdr:rowOff>
    </xdr:to>
    <xdr:sp fLocksText="0">
      <xdr:nvSpPr>
        <xdr:cNvPr id="1" name="Text Box 2"/>
        <xdr:cNvSpPr txBox="1">
          <a:spLocks noChangeArrowheads="1"/>
        </xdr:cNvSpPr>
      </xdr:nvSpPr>
      <xdr:spPr>
        <a:xfrm>
          <a:off x="923925" y="85725"/>
          <a:ext cx="6334125" cy="590550"/>
        </a:xfrm>
        <a:prstGeom prst="rect">
          <a:avLst/>
        </a:prstGeom>
        <a:solidFill>
          <a:srgbClr val="FFFFFF"/>
        </a:solidFill>
        <a:ln w="9398" cmpd="sng">
          <a:noFill/>
        </a:ln>
      </xdr:spPr>
      <xdr:txBody>
        <a:bodyPr vertOverflow="clip" wrap="square" lIns="20160" tIns="20160" rIns="20160" bIns="20160"/>
        <a:p>
          <a:pPr algn="ctr">
            <a:defRPr/>
          </a:pPr>
          <a:r>
            <a:rPr lang="en-US" cap="none" sz="1100" b="1" i="0" u="none" baseline="0">
              <a:solidFill>
                <a:srgbClr val="000000"/>
              </a:solidFill>
              <a:latin typeface="Times New Roman"/>
              <a:ea typeface="Times New Roman"/>
              <a:cs typeface="Times New Roman"/>
            </a:rPr>
            <a:t>Provincia de Tierra del Fuego, Antártica e Islas del Atlántico Sur</a:t>
          </a:r>
          <a:r>
            <a:rPr lang="en-US" cap="none" sz="10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Ministerio de Obras y Servicios Públicos</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SUBSECRETARÍA DE OBRAS PÚBLICAS ZONA NORTE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0"/>
  <sheetViews>
    <sheetView tabSelected="1" zoomScalePageLayoutView="0" workbookViewId="0" topLeftCell="A222">
      <selection activeCell="M2" sqref="M2"/>
    </sheetView>
  </sheetViews>
  <sheetFormatPr defaultColWidth="11.421875" defaultRowHeight="12.75"/>
  <cols>
    <col min="1" max="1" width="6.140625" style="5" customWidth="1"/>
    <col min="2" max="2" width="5.28125" style="74" customWidth="1"/>
    <col min="3" max="3" width="6.8515625" style="5" customWidth="1"/>
    <col min="4" max="4" width="45.421875" style="5" customWidth="1"/>
    <col min="5" max="5" width="7.28125" style="75" customWidth="1"/>
    <col min="6" max="6" width="13.00390625" style="76" customWidth="1"/>
    <col min="7" max="7" width="13.140625" style="71" customWidth="1"/>
    <col min="8" max="8" width="13.7109375" style="5" customWidth="1"/>
    <col min="9" max="9" width="15.00390625" style="5" customWidth="1"/>
    <col min="10" max="10" width="11.140625" style="73" customWidth="1"/>
    <col min="11" max="11" width="15.140625" style="5" customWidth="1"/>
    <col min="12" max="12" width="13.28125" style="5" customWidth="1"/>
    <col min="13" max="13" width="15.421875" style="5" customWidth="1"/>
    <col min="14" max="15" width="15.7109375" style="5" customWidth="1"/>
    <col min="16" max="16" width="13.140625" style="71" customWidth="1"/>
    <col min="17" max="19" width="15.7109375" style="5" customWidth="1"/>
    <col min="20" max="16384" width="11.421875" style="5" customWidth="1"/>
  </cols>
  <sheetData>
    <row r="1" spans="1:16" ht="58.5" customHeight="1" thickBot="1">
      <c r="A1" s="207"/>
      <c r="B1" s="208"/>
      <c r="C1" s="207"/>
      <c r="D1" s="209"/>
      <c r="E1" s="209"/>
      <c r="F1" s="209"/>
      <c r="G1" s="209"/>
      <c r="H1" s="208"/>
      <c r="I1" s="207" t="s">
        <v>236</v>
      </c>
      <c r="J1" s="208"/>
      <c r="M1" s="5">
        <v>1.885</v>
      </c>
      <c r="N1" s="5">
        <f>21.2+24.6+25.6+2</f>
        <v>73.4</v>
      </c>
      <c r="O1" s="193">
        <f>+N1-12.9</f>
        <v>60.50000000000001</v>
      </c>
      <c r="P1" s="5"/>
    </row>
    <row r="2" spans="1:16" ht="16.5" thickBot="1">
      <c r="A2" s="212" t="s">
        <v>127</v>
      </c>
      <c r="B2" s="213"/>
      <c r="C2" s="213"/>
      <c r="D2" s="213"/>
      <c r="E2" s="213"/>
      <c r="F2" s="213"/>
      <c r="G2" s="213"/>
      <c r="H2" s="213"/>
      <c r="I2" s="213"/>
      <c r="J2" s="3"/>
      <c r="K2" s="4"/>
      <c r="O2" s="192"/>
      <c r="P2" s="5"/>
    </row>
    <row r="3" spans="1:16" ht="12.75" customHeight="1">
      <c r="A3" s="214" t="s">
        <v>133</v>
      </c>
      <c r="B3" s="216" t="s">
        <v>134</v>
      </c>
      <c r="C3" s="214" t="s">
        <v>261</v>
      </c>
      <c r="D3" s="218" t="s">
        <v>150</v>
      </c>
      <c r="E3" s="224" t="s">
        <v>151</v>
      </c>
      <c r="F3" s="222" t="s">
        <v>152</v>
      </c>
      <c r="G3" s="220" t="s">
        <v>199</v>
      </c>
      <c r="H3" s="222" t="s">
        <v>153</v>
      </c>
      <c r="I3" s="222" t="s">
        <v>154</v>
      </c>
      <c r="J3" s="210" t="s">
        <v>210</v>
      </c>
      <c r="K3" s="6"/>
      <c r="L3" s="7"/>
      <c r="M3" s="8"/>
      <c r="N3" s="9"/>
      <c r="P3" s="220" t="s">
        <v>199</v>
      </c>
    </row>
    <row r="4" spans="1:16" ht="12.75" thickBot="1">
      <c r="A4" s="215"/>
      <c r="B4" s="217"/>
      <c r="C4" s="215"/>
      <c r="D4" s="219"/>
      <c r="E4" s="225"/>
      <c r="F4" s="223"/>
      <c r="G4" s="221"/>
      <c r="H4" s="223"/>
      <c r="I4" s="223"/>
      <c r="J4" s="211"/>
      <c r="P4" s="221"/>
    </row>
    <row r="5" spans="1:16" ht="12.75" thickBot="1">
      <c r="A5" s="100">
        <v>1</v>
      </c>
      <c r="B5" s="101"/>
      <c r="C5" s="102"/>
      <c r="D5" s="103" t="s">
        <v>155</v>
      </c>
      <c r="E5" s="104"/>
      <c r="F5" s="117"/>
      <c r="G5" s="118"/>
      <c r="H5" s="119"/>
      <c r="I5" s="120">
        <f>SUM(H6:H12)</f>
        <v>541865.68087</v>
      </c>
      <c r="J5" s="121">
        <f>I5*100/$I$226</f>
        <v>5.416339440304814</v>
      </c>
      <c r="P5" s="118"/>
    </row>
    <row r="6" spans="1:16" ht="24">
      <c r="A6" s="10"/>
      <c r="B6" s="31" t="s">
        <v>156</v>
      </c>
      <c r="C6" s="84">
        <v>11</v>
      </c>
      <c r="D6" s="12" t="s">
        <v>245</v>
      </c>
      <c r="E6" s="13" t="s">
        <v>88</v>
      </c>
      <c r="F6" s="122">
        <v>1</v>
      </c>
      <c r="G6" s="123">
        <f>P6*$M$1</f>
        <v>273245.83</v>
      </c>
      <c r="H6" s="124">
        <f aca="true" t="shared" si="0" ref="H6:H11">F6*G6</f>
        <v>273245.83</v>
      </c>
      <c r="I6" s="125"/>
      <c r="J6" s="126"/>
      <c r="P6" s="123">
        <v>144958</v>
      </c>
    </row>
    <row r="7" spans="1:16" ht="13.5" customHeight="1">
      <c r="A7" s="10"/>
      <c r="B7" s="14" t="s">
        <v>159</v>
      </c>
      <c r="C7" s="88">
        <v>13</v>
      </c>
      <c r="D7" s="15" t="s">
        <v>160</v>
      </c>
      <c r="E7" s="16" t="s">
        <v>214</v>
      </c>
      <c r="F7" s="127">
        <v>1</v>
      </c>
      <c r="G7" s="124">
        <f aca="true" t="shared" si="1" ref="G6:G11">P7*$M$1</f>
        <v>6629.45075</v>
      </c>
      <c r="H7" s="124">
        <f t="shared" si="0"/>
        <v>6629.45075</v>
      </c>
      <c r="I7" s="125"/>
      <c r="J7" s="126"/>
      <c r="P7" s="124">
        <v>3516.95</v>
      </c>
    </row>
    <row r="8" spans="1:16" ht="13.5" customHeight="1">
      <c r="A8" s="10"/>
      <c r="B8" s="14" t="s">
        <v>161</v>
      </c>
      <c r="C8" s="88">
        <v>15</v>
      </c>
      <c r="D8" s="15" t="s">
        <v>162</v>
      </c>
      <c r="E8" s="16" t="s">
        <v>163</v>
      </c>
      <c r="F8" s="127">
        <v>664.6</v>
      </c>
      <c r="G8" s="124">
        <f t="shared" si="1"/>
        <v>138.9622</v>
      </c>
      <c r="H8" s="124">
        <f>F8*G8</f>
        <v>92354.27812</v>
      </c>
      <c r="I8" s="125"/>
      <c r="J8" s="126"/>
      <c r="P8" s="124">
        <v>73.72</v>
      </c>
    </row>
    <row r="9" spans="1:16" ht="13.5" customHeight="1">
      <c r="A9" s="10"/>
      <c r="B9" s="14" t="s">
        <v>164</v>
      </c>
      <c r="C9" s="88">
        <v>14</v>
      </c>
      <c r="D9" s="15" t="s">
        <v>165</v>
      </c>
      <c r="E9" s="16" t="s">
        <v>158</v>
      </c>
      <c r="F9" s="127">
        <v>1</v>
      </c>
      <c r="G9" s="124">
        <f t="shared" si="1"/>
        <v>14137.5</v>
      </c>
      <c r="H9" s="124">
        <f t="shared" si="0"/>
        <v>14137.5</v>
      </c>
      <c r="I9" s="125"/>
      <c r="J9" s="126"/>
      <c r="P9" s="124">
        <v>7500</v>
      </c>
    </row>
    <row r="10" spans="1:16" ht="13.5" customHeight="1">
      <c r="A10" s="10"/>
      <c r="B10" s="14" t="s">
        <v>166</v>
      </c>
      <c r="C10" s="88">
        <v>12</v>
      </c>
      <c r="D10" s="15" t="s">
        <v>167</v>
      </c>
      <c r="E10" s="16" t="s">
        <v>158</v>
      </c>
      <c r="F10" s="127">
        <v>1</v>
      </c>
      <c r="G10" s="124">
        <f t="shared" si="1"/>
        <v>5517.772</v>
      </c>
      <c r="H10" s="124">
        <f t="shared" si="0"/>
        <v>5517.772</v>
      </c>
      <c r="I10" s="125"/>
      <c r="J10" s="126"/>
      <c r="P10" s="124">
        <v>2927.2</v>
      </c>
    </row>
    <row r="11" spans="1:16" ht="13.5" customHeight="1">
      <c r="A11" s="10"/>
      <c r="B11" s="14" t="s">
        <v>168</v>
      </c>
      <c r="C11" s="88">
        <v>28</v>
      </c>
      <c r="D11" s="15" t="s">
        <v>170</v>
      </c>
      <c r="E11" s="16" t="s">
        <v>158</v>
      </c>
      <c r="F11" s="127">
        <v>1</v>
      </c>
      <c r="G11" s="124">
        <f t="shared" si="1"/>
        <v>39980.85</v>
      </c>
      <c r="H11" s="124">
        <f t="shared" si="0"/>
        <v>39980.85</v>
      </c>
      <c r="I11" s="125"/>
      <c r="J11" s="126"/>
      <c r="P11" s="124">
        <v>21210</v>
      </c>
    </row>
    <row r="12" spans="1:16" ht="12.75" thickBot="1">
      <c r="A12" s="10"/>
      <c r="B12" s="19" t="s">
        <v>184</v>
      </c>
      <c r="C12" s="84">
        <v>19</v>
      </c>
      <c r="D12" s="194" t="s">
        <v>278</v>
      </c>
      <c r="E12" s="195" t="s">
        <v>279</v>
      </c>
      <c r="F12" s="127">
        <v>1</v>
      </c>
      <c r="G12" s="124">
        <v>110000</v>
      </c>
      <c r="H12" s="124">
        <f>F12*G12</f>
        <v>110000</v>
      </c>
      <c r="I12" s="125"/>
      <c r="J12" s="126"/>
      <c r="P12" s="124">
        <v>3.11</v>
      </c>
    </row>
    <row r="13" spans="1:16" ht="12.75" thickBot="1">
      <c r="A13" s="100">
        <v>2</v>
      </c>
      <c r="B13" s="105"/>
      <c r="C13" s="106"/>
      <c r="D13" s="103" t="s">
        <v>221</v>
      </c>
      <c r="E13" s="104"/>
      <c r="F13" s="128"/>
      <c r="G13" s="129"/>
      <c r="H13" s="129"/>
      <c r="I13" s="120">
        <f>SUM(H14:H17)</f>
        <v>203740.0317875</v>
      </c>
      <c r="J13" s="121">
        <f>I13*100/$I$226</f>
        <v>2.0365289936203603</v>
      </c>
      <c r="P13" s="129"/>
    </row>
    <row r="14" spans="1:16" ht="12">
      <c r="A14" s="10"/>
      <c r="B14" s="14" t="s">
        <v>156</v>
      </c>
      <c r="C14" s="84">
        <v>35</v>
      </c>
      <c r="D14" s="15" t="s">
        <v>222</v>
      </c>
      <c r="E14" s="16" t="s">
        <v>171</v>
      </c>
      <c r="F14" s="127">
        <f>1830*0.3</f>
        <v>549</v>
      </c>
      <c r="G14" s="123">
        <f>P14*$M$1</f>
        <v>196.32275</v>
      </c>
      <c r="H14" s="124">
        <f>F14*G14</f>
        <v>107781.18975</v>
      </c>
      <c r="I14" s="125"/>
      <c r="J14" s="126"/>
      <c r="P14" s="124">
        <v>104.15</v>
      </c>
    </row>
    <row r="15" spans="1:16" ht="12">
      <c r="A15" s="10"/>
      <c r="B15" s="14" t="s">
        <v>159</v>
      </c>
      <c r="C15" s="89">
        <v>34</v>
      </c>
      <c r="D15" s="15" t="s">
        <v>223</v>
      </c>
      <c r="E15" s="16" t="s">
        <v>171</v>
      </c>
      <c r="F15" s="127">
        <f>F21+F20</f>
        <v>160.76999999999998</v>
      </c>
      <c r="G15" s="124">
        <f>P15*$M$1</f>
        <v>419.88375</v>
      </c>
      <c r="H15" s="124">
        <f>F15*G15</f>
        <v>67504.7104875</v>
      </c>
      <c r="I15" s="125"/>
      <c r="J15" s="126"/>
      <c r="P15" s="124">
        <v>222.75</v>
      </c>
    </row>
    <row r="16" spans="1:16" ht="24">
      <c r="A16" s="10"/>
      <c r="B16" s="14" t="s">
        <v>161</v>
      </c>
      <c r="C16" s="89">
        <v>489</v>
      </c>
      <c r="D16" s="15" t="s">
        <v>113</v>
      </c>
      <c r="E16" s="16" t="s">
        <v>37</v>
      </c>
      <c r="F16" s="127">
        <v>1</v>
      </c>
      <c r="G16" s="124">
        <f>P16*$M$1</f>
        <v>1629.9595000000002</v>
      </c>
      <c r="H16" s="124">
        <f>F16*G16</f>
        <v>1629.9595000000002</v>
      </c>
      <c r="I16" s="125"/>
      <c r="J16" s="126"/>
      <c r="P16" s="124">
        <v>864.7</v>
      </c>
    </row>
    <row r="17" spans="1:16" ht="36.75" thickBot="1">
      <c r="A17" s="10"/>
      <c r="B17" s="14" t="s">
        <v>164</v>
      </c>
      <c r="C17" s="84">
        <v>489</v>
      </c>
      <c r="D17" s="15" t="s">
        <v>135</v>
      </c>
      <c r="E17" s="16" t="s">
        <v>37</v>
      </c>
      <c r="F17" s="127">
        <v>1</v>
      </c>
      <c r="G17" s="124">
        <f>P17*$M$1</f>
        <v>26824.17205</v>
      </c>
      <c r="H17" s="124">
        <f>F17*G17</f>
        <v>26824.17205</v>
      </c>
      <c r="I17" s="125"/>
      <c r="J17" s="126"/>
      <c r="P17" s="124">
        <v>14230.33</v>
      </c>
    </row>
    <row r="18" spans="1:16" ht="12.75" thickBot="1">
      <c r="A18" s="100">
        <v>3</v>
      </c>
      <c r="B18" s="105"/>
      <c r="C18" s="106"/>
      <c r="D18" s="103" t="s">
        <v>172</v>
      </c>
      <c r="E18" s="104"/>
      <c r="F18" s="128"/>
      <c r="G18" s="129"/>
      <c r="H18" s="129"/>
      <c r="I18" s="120">
        <f>SUM(H19:H33)</f>
        <v>3980391.40333068</v>
      </c>
      <c r="J18" s="121">
        <f>I18*100/$I$226</f>
        <v>39.78689130320191</v>
      </c>
      <c r="P18" s="129"/>
    </row>
    <row r="19" spans="1:16" ht="15" customHeight="1">
      <c r="A19" s="10"/>
      <c r="B19" s="11" t="s">
        <v>156</v>
      </c>
      <c r="C19" s="84">
        <v>65</v>
      </c>
      <c r="D19" s="12" t="s">
        <v>173</v>
      </c>
      <c r="E19" s="13" t="s">
        <v>171</v>
      </c>
      <c r="F19" s="127">
        <v>9.94</v>
      </c>
      <c r="G19" s="124">
        <f aca="true" t="shared" si="2" ref="G19:G33">P19*$M$1</f>
        <v>1038.8423500000001</v>
      </c>
      <c r="H19" s="124">
        <f>F19*G19</f>
        <v>10326.092959000001</v>
      </c>
      <c r="I19" s="125"/>
      <c r="J19" s="130"/>
      <c r="P19" s="123">
        <v>551.11</v>
      </c>
    </row>
    <row r="20" spans="1:16" ht="12">
      <c r="A20" s="10"/>
      <c r="B20" s="14" t="s">
        <v>159</v>
      </c>
      <c r="C20" s="89">
        <v>68</v>
      </c>
      <c r="D20" s="15" t="s">
        <v>101</v>
      </c>
      <c r="E20" s="16" t="s">
        <v>171</v>
      </c>
      <c r="F20" s="127">
        <v>43.64</v>
      </c>
      <c r="G20" s="124">
        <f t="shared" si="2"/>
        <v>3516.3921</v>
      </c>
      <c r="H20" s="124">
        <f aca="true" t="shared" si="3" ref="H20:H33">F20*G20</f>
        <v>153455.351244</v>
      </c>
      <c r="I20" s="125"/>
      <c r="J20" s="126"/>
      <c r="P20" s="124">
        <v>1865.46</v>
      </c>
    </row>
    <row r="21" spans="1:16" ht="12">
      <c r="A21" s="10"/>
      <c r="B21" s="14" t="s">
        <v>161</v>
      </c>
      <c r="C21" s="89">
        <v>68</v>
      </c>
      <c r="D21" s="15" t="s">
        <v>102</v>
      </c>
      <c r="E21" s="16" t="s">
        <v>171</v>
      </c>
      <c r="F21" s="127">
        <v>117.13</v>
      </c>
      <c r="G21" s="124">
        <f t="shared" si="2"/>
        <v>3424.3287</v>
      </c>
      <c r="H21" s="124">
        <f t="shared" si="3"/>
        <v>401091.62063099997</v>
      </c>
      <c r="I21" s="125"/>
      <c r="J21" s="126"/>
      <c r="P21" s="124">
        <v>1816.62</v>
      </c>
    </row>
    <row r="22" spans="1:16" ht="12">
      <c r="A22" s="10"/>
      <c r="B22" s="14" t="s">
        <v>164</v>
      </c>
      <c r="C22" s="89">
        <v>69</v>
      </c>
      <c r="D22" s="15" t="s">
        <v>114</v>
      </c>
      <c r="E22" s="16" t="s">
        <v>171</v>
      </c>
      <c r="F22" s="127">
        <v>13.7</v>
      </c>
      <c r="G22" s="124">
        <f t="shared" si="2"/>
        <v>5205.93645</v>
      </c>
      <c r="H22" s="124">
        <f t="shared" si="3"/>
        <v>71321.329365</v>
      </c>
      <c r="I22" s="125"/>
      <c r="J22" s="126"/>
      <c r="P22" s="124">
        <v>2761.77</v>
      </c>
    </row>
    <row r="23" spans="1:16" ht="12">
      <c r="A23" s="10"/>
      <c r="B23" s="14" t="s">
        <v>166</v>
      </c>
      <c r="C23" s="89">
        <v>69</v>
      </c>
      <c r="D23" s="15" t="s">
        <v>115</v>
      </c>
      <c r="E23" s="16" t="s">
        <v>171</v>
      </c>
      <c r="F23" s="127">
        <v>53.59</v>
      </c>
      <c r="G23" s="124">
        <f t="shared" si="2"/>
        <v>5205.93645</v>
      </c>
      <c r="H23" s="124">
        <f t="shared" si="3"/>
        <v>278986.13435550005</v>
      </c>
      <c r="I23" s="125"/>
      <c r="J23" s="126"/>
      <c r="P23" s="124">
        <v>2761.77</v>
      </c>
    </row>
    <row r="24" spans="1:16" ht="12">
      <c r="A24" s="10"/>
      <c r="B24" s="14" t="s">
        <v>168</v>
      </c>
      <c r="C24" s="89">
        <v>69</v>
      </c>
      <c r="D24" s="15" t="s">
        <v>117</v>
      </c>
      <c r="E24" s="16" t="s">
        <v>171</v>
      </c>
      <c r="F24" s="127">
        <v>40.47</v>
      </c>
      <c r="G24" s="124">
        <f t="shared" si="2"/>
        <v>6042.72565</v>
      </c>
      <c r="H24" s="124">
        <f t="shared" si="3"/>
        <v>244549.1070555</v>
      </c>
      <c r="I24" s="125"/>
      <c r="J24" s="126"/>
      <c r="P24" s="124">
        <v>3205.69</v>
      </c>
    </row>
    <row r="25" spans="1:16" ht="12">
      <c r="A25" s="10"/>
      <c r="B25" s="14" t="s">
        <v>184</v>
      </c>
      <c r="C25" s="89">
        <v>69</v>
      </c>
      <c r="D25" s="15" t="s">
        <v>118</v>
      </c>
      <c r="E25" s="16" t="s">
        <v>171</v>
      </c>
      <c r="F25" s="127">
        <v>86.14</v>
      </c>
      <c r="G25" s="124">
        <f t="shared" si="2"/>
        <v>6042.72565</v>
      </c>
      <c r="H25" s="124">
        <f t="shared" si="3"/>
        <v>520520.38749100006</v>
      </c>
      <c r="I25" s="125"/>
      <c r="J25" s="126"/>
      <c r="P25" s="124">
        <v>3205.69</v>
      </c>
    </row>
    <row r="26" spans="1:16" ht="12">
      <c r="A26" s="10"/>
      <c r="B26" s="14" t="s">
        <v>185</v>
      </c>
      <c r="C26" s="89">
        <v>69</v>
      </c>
      <c r="D26" s="15" t="s">
        <v>119</v>
      </c>
      <c r="E26" s="16" t="s">
        <v>171</v>
      </c>
      <c r="F26" s="127">
        <f>1.3*2.2</f>
        <v>2.8600000000000003</v>
      </c>
      <c r="G26" s="124">
        <f t="shared" si="2"/>
        <v>7665.8237500000005</v>
      </c>
      <c r="H26" s="124">
        <f>F26*G26</f>
        <v>21924.255925000005</v>
      </c>
      <c r="I26" s="125"/>
      <c r="J26" s="126"/>
      <c r="P26" s="124">
        <v>4066.75</v>
      </c>
    </row>
    <row r="27" spans="1:16" ht="12">
      <c r="A27" s="10"/>
      <c r="B27" s="14" t="s">
        <v>186</v>
      </c>
      <c r="C27" s="89">
        <v>69</v>
      </c>
      <c r="D27" s="15" t="s">
        <v>116</v>
      </c>
      <c r="E27" s="16" t="s">
        <v>171</v>
      </c>
      <c r="F27" s="127">
        <f>((29.02*2)+(7.54*6)+(42.38*2)+(29.72*2))*0.3*0.4</f>
        <v>29.6976</v>
      </c>
      <c r="G27" s="124">
        <f t="shared" si="2"/>
        <v>5352.13705</v>
      </c>
      <c r="H27" s="124">
        <f t="shared" si="3"/>
        <v>158945.62525608</v>
      </c>
      <c r="I27" s="125"/>
      <c r="J27" s="126"/>
      <c r="P27" s="124">
        <v>2839.33</v>
      </c>
    </row>
    <row r="28" spans="1:16" ht="24">
      <c r="A28" s="10"/>
      <c r="B28" s="14" t="s">
        <v>187</v>
      </c>
      <c r="C28" s="89">
        <v>69</v>
      </c>
      <c r="D28" s="15" t="s">
        <v>99</v>
      </c>
      <c r="E28" s="16" t="s">
        <v>171</v>
      </c>
      <c r="F28" s="127">
        <f>((29.02*2)+(42.38*2))*0.3*0.4</f>
        <v>17.136000000000003</v>
      </c>
      <c r="G28" s="124">
        <f t="shared" si="2"/>
        <v>5352.13705</v>
      </c>
      <c r="H28" s="124">
        <f t="shared" si="3"/>
        <v>91714.22048880001</v>
      </c>
      <c r="I28" s="125"/>
      <c r="J28" s="126"/>
      <c r="P28" s="124">
        <v>2839.33</v>
      </c>
    </row>
    <row r="29" spans="1:16" ht="48">
      <c r="A29" s="10"/>
      <c r="B29" s="14" t="s">
        <v>188</v>
      </c>
      <c r="C29" s="89">
        <v>125</v>
      </c>
      <c r="D29" s="15" t="s">
        <v>120</v>
      </c>
      <c r="E29" s="16" t="s">
        <v>169</v>
      </c>
      <c r="F29" s="127">
        <v>1</v>
      </c>
      <c r="G29" s="124">
        <f t="shared" si="2"/>
        <v>163057.75915</v>
      </c>
      <c r="H29" s="124">
        <f t="shared" si="3"/>
        <v>163057.75915</v>
      </c>
      <c r="I29" s="125"/>
      <c r="J29" s="126"/>
      <c r="P29" s="124">
        <v>86502.79</v>
      </c>
    </row>
    <row r="30" spans="1:16" ht="48">
      <c r="A30" s="10"/>
      <c r="B30" s="14" t="s">
        <v>189</v>
      </c>
      <c r="C30" s="89">
        <v>125</v>
      </c>
      <c r="D30" s="15" t="s">
        <v>79</v>
      </c>
      <c r="E30" s="16" t="s">
        <v>169</v>
      </c>
      <c r="F30" s="127">
        <v>1</v>
      </c>
      <c r="G30" s="124">
        <f t="shared" si="2"/>
        <v>163057.75915</v>
      </c>
      <c r="H30" s="124">
        <f>F30*G30</f>
        <v>163057.75915</v>
      </c>
      <c r="I30" s="125"/>
      <c r="J30" s="126"/>
      <c r="P30" s="124">
        <v>86502.79</v>
      </c>
    </row>
    <row r="31" spans="1:16" ht="12">
      <c r="A31" s="10"/>
      <c r="B31" s="14" t="s">
        <v>190</v>
      </c>
      <c r="C31" s="89">
        <v>125</v>
      </c>
      <c r="D31" s="15" t="s">
        <v>91</v>
      </c>
      <c r="E31" s="16" t="s">
        <v>93</v>
      </c>
      <c r="F31" s="127">
        <f>(61.4*25.3*8)+(68.26*6.1*8*2)+(47.9*25.3*3)+(55.2*6.1*3*2)</f>
        <v>24745.466</v>
      </c>
      <c r="G31" s="124">
        <f t="shared" si="2"/>
        <v>55.7583</v>
      </c>
      <c r="H31" s="124">
        <f t="shared" si="3"/>
        <v>1379765.1168678</v>
      </c>
      <c r="I31" s="125"/>
      <c r="J31" s="126"/>
      <c r="P31" s="124">
        <v>29.58</v>
      </c>
    </row>
    <row r="32" spans="1:16" ht="12">
      <c r="A32" s="10"/>
      <c r="B32" s="14" t="s">
        <v>191</v>
      </c>
      <c r="C32" s="89">
        <v>125</v>
      </c>
      <c r="D32" s="15" t="s">
        <v>92</v>
      </c>
      <c r="E32" s="16" t="s">
        <v>93</v>
      </c>
      <c r="F32" s="127">
        <f>((29.8*16)+(42.4*25))*3.7</f>
        <v>5686.16</v>
      </c>
      <c r="G32" s="124">
        <f t="shared" si="2"/>
        <v>52.063700000000004</v>
      </c>
      <c r="H32" s="124">
        <f>F32*G32</f>
        <v>296042.528392</v>
      </c>
      <c r="I32" s="125"/>
      <c r="J32" s="126"/>
      <c r="P32" s="124">
        <v>27.62</v>
      </c>
    </row>
    <row r="33" spans="1:16" ht="36.75" thickBot="1">
      <c r="A33" s="10"/>
      <c r="B33" s="14" t="s">
        <v>192</v>
      </c>
      <c r="C33" s="84">
        <v>125</v>
      </c>
      <c r="D33" s="15" t="s">
        <v>51</v>
      </c>
      <c r="E33" s="16" t="s">
        <v>93</v>
      </c>
      <c r="F33" s="127">
        <v>450</v>
      </c>
      <c r="G33" s="124">
        <f t="shared" si="2"/>
        <v>56.9647</v>
      </c>
      <c r="H33" s="124">
        <f t="shared" si="3"/>
        <v>25634.115</v>
      </c>
      <c r="I33" s="125"/>
      <c r="J33" s="126"/>
      <c r="P33" s="124">
        <v>30.22</v>
      </c>
    </row>
    <row r="34" spans="1:16" ht="12.75" thickBot="1">
      <c r="A34" s="100">
        <v>4</v>
      </c>
      <c r="B34" s="105"/>
      <c r="C34" s="106"/>
      <c r="D34" s="103" t="s">
        <v>174</v>
      </c>
      <c r="E34" s="107"/>
      <c r="F34" s="131"/>
      <c r="G34" s="132"/>
      <c r="H34" s="133"/>
      <c r="I34" s="134">
        <f>SUM(H35:H41)</f>
        <v>768969.723765815</v>
      </c>
      <c r="J34" s="121">
        <f>I34*100/$I$226</f>
        <v>7.686408625373554</v>
      </c>
      <c r="P34" s="132"/>
    </row>
    <row r="35" spans="1:16" ht="168">
      <c r="A35" s="10"/>
      <c r="B35" s="11" t="s">
        <v>156</v>
      </c>
      <c r="C35" s="84">
        <v>113</v>
      </c>
      <c r="D35" s="17" t="s">
        <v>2</v>
      </c>
      <c r="E35" s="18" t="s">
        <v>175</v>
      </c>
      <c r="F35" s="135">
        <f>59.95*3</f>
        <v>179.85000000000002</v>
      </c>
      <c r="G35" s="124">
        <f aca="true" t="shared" si="4" ref="G35:G41">P35*$M$1</f>
        <v>498.2432</v>
      </c>
      <c r="H35" s="123">
        <f aca="true" t="shared" si="5" ref="H35:H40">F35*G35</f>
        <v>89609.03952</v>
      </c>
      <c r="I35" s="136"/>
      <c r="J35" s="130"/>
      <c r="P35" s="123">
        <v>264.32</v>
      </c>
    </row>
    <row r="36" spans="1:16" ht="132">
      <c r="A36" s="10"/>
      <c r="B36" s="19" t="s">
        <v>159</v>
      </c>
      <c r="C36" s="89">
        <v>111</v>
      </c>
      <c r="D36" s="20" t="s">
        <v>94</v>
      </c>
      <c r="E36" s="21" t="s">
        <v>175</v>
      </c>
      <c r="F36" s="137">
        <f>142.79*(3.35+1.47)</f>
        <v>688.2478</v>
      </c>
      <c r="G36" s="124">
        <f t="shared" si="4"/>
        <v>520.8820499999999</v>
      </c>
      <c r="H36" s="138">
        <f t="shared" si="5"/>
        <v>358495.92497198994</v>
      </c>
      <c r="I36" s="125"/>
      <c r="J36" s="126"/>
      <c r="P36" s="138">
        <v>276.33</v>
      </c>
    </row>
    <row r="37" spans="1:16" ht="156">
      <c r="A37" s="10"/>
      <c r="B37" s="14" t="s">
        <v>161</v>
      </c>
      <c r="C37" s="89">
        <v>113</v>
      </c>
      <c r="D37" s="22" t="s">
        <v>128</v>
      </c>
      <c r="E37" s="23" t="s">
        <v>175</v>
      </c>
      <c r="F37" s="139">
        <v>34.97</v>
      </c>
      <c r="G37" s="124">
        <f t="shared" si="4"/>
        <v>490.51470000000006</v>
      </c>
      <c r="H37" s="124">
        <f t="shared" si="5"/>
        <v>17153.299059</v>
      </c>
      <c r="I37" s="125"/>
      <c r="J37" s="126"/>
      <c r="P37" s="124">
        <v>260.22</v>
      </c>
    </row>
    <row r="38" spans="1:16" ht="144">
      <c r="A38" s="10"/>
      <c r="B38" s="14" t="s">
        <v>164</v>
      </c>
      <c r="C38" s="89">
        <v>113</v>
      </c>
      <c r="D38" s="22" t="s">
        <v>129</v>
      </c>
      <c r="E38" s="23" t="s">
        <v>175</v>
      </c>
      <c r="F38" s="139">
        <f>42.08*5.2</f>
        <v>218.816</v>
      </c>
      <c r="G38" s="124">
        <f t="shared" si="4"/>
        <v>490.51470000000006</v>
      </c>
      <c r="H38" s="124">
        <f t="shared" si="5"/>
        <v>107332.46459520001</v>
      </c>
      <c r="I38" s="125"/>
      <c r="J38" s="126"/>
      <c r="P38" s="124">
        <v>260.22</v>
      </c>
    </row>
    <row r="39" spans="1:16" ht="144">
      <c r="A39" s="10"/>
      <c r="B39" s="14" t="s">
        <v>166</v>
      </c>
      <c r="C39" s="89"/>
      <c r="D39" s="22" t="s">
        <v>1</v>
      </c>
      <c r="E39" s="23" t="s">
        <v>175</v>
      </c>
      <c r="F39" s="139">
        <f>5.38*3.5</f>
        <v>18.83</v>
      </c>
      <c r="G39" s="124">
        <f t="shared" si="4"/>
        <v>424.8036</v>
      </c>
      <c r="H39" s="124">
        <f t="shared" si="5"/>
        <v>7999.051788</v>
      </c>
      <c r="I39" s="125"/>
      <c r="J39" s="126"/>
      <c r="P39" s="124">
        <v>225.36</v>
      </c>
    </row>
    <row r="40" spans="1:16" ht="36">
      <c r="A40" s="10"/>
      <c r="B40" s="14" t="s">
        <v>168</v>
      </c>
      <c r="C40" s="89">
        <v>102</v>
      </c>
      <c r="D40" s="22" t="s">
        <v>130</v>
      </c>
      <c r="E40" s="23" t="s">
        <v>175</v>
      </c>
      <c r="F40" s="139">
        <f>145.79*3</f>
        <v>437.37</v>
      </c>
      <c r="G40" s="124">
        <f t="shared" si="4"/>
        <v>336.00125</v>
      </c>
      <c r="H40" s="124">
        <f t="shared" si="5"/>
        <v>146956.86671250002</v>
      </c>
      <c r="I40" s="125"/>
      <c r="J40" s="126"/>
      <c r="P40" s="140">
        <v>178.25</v>
      </c>
    </row>
    <row r="41" spans="1:16" ht="76.5" customHeight="1" thickBot="1">
      <c r="A41" s="10"/>
      <c r="B41" s="14" t="s">
        <v>184</v>
      </c>
      <c r="C41" s="84">
        <v>114</v>
      </c>
      <c r="D41" s="22" t="s">
        <v>131</v>
      </c>
      <c r="E41" s="23" t="s">
        <v>175</v>
      </c>
      <c r="F41" s="139">
        <f>36.95*2.05</f>
        <v>75.7475</v>
      </c>
      <c r="G41" s="124">
        <f t="shared" si="4"/>
        <v>546.85735</v>
      </c>
      <c r="H41" s="124">
        <f>F41*G41</f>
        <v>41423.077119125</v>
      </c>
      <c r="I41" s="125"/>
      <c r="J41" s="126"/>
      <c r="P41" s="141">
        <v>290.11</v>
      </c>
    </row>
    <row r="42" spans="1:16" ht="12.75" thickBot="1">
      <c r="A42" s="100">
        <v>5</v>
      </c>
      <c r="B42" s="105"/>
      <c r="C42" s="106"/>
      <c r="D42" s="103" t="s">
        <v>176</v>
      </c>
      <c r="E42" s="108"/>
      <c r="F42" s="128"/>
      <c r="G42" s="129"/>
      <c r="H42" s="129"/>
      <c r="I42" s="120">
        <f>SUM(H43:H46)</f>
        <v>459786.4477115</v>
      </c>
      <c r="J42" s="121">
        <f>I42*100/$I$226</f>
        <v>4.595898132649798</v>
      </c>
      <c r="P42" s="129"/>
    </row>
    <row r="43" spans="1:16" ht="24">
      <c r="A43" s="10"/>
      <c r="B43" s="14" t="s">
        <v>156</v>
      </c>
      <c r="C43" s="84">
        <v>175</v>
      </c>
      <c r="D43" s="17" t="s">
        <v>265</v>
      </c>
      <c r="E43" s="24" t="s">
        <v>175</v>
      </c>
      <c r="F43" s="127">
        <f>59+43+6+145</f>
        <v>253</v>
      </c>
      <c r="G43" s="124">
        <f>P43*$M$1</f>
        <v>75.6262</v>
      </c>
      <c r="H43" s="124">
        <f>F43*G43</f>
        <v>19133.4286</v>
      </c>
      <c r="I43" s="125"/>
      <c r="J43" s="126"/>
      <c r="P43" s="124">
        <v>40.12</v>
      </c>
    </row>
    <row r="44" spans="1:16" ht="24">
      <c r="A44" s="10"/>
      <c r="B44" s="14" t="s">
        <v>159</v>
      </c>
      <c r="C44" s="89">
        <v>231</v>
      </c>
      <c r="D44" s="22" t="s">
        <v>271</v>
      </c>
      <c r="E44" s="24" t="s">
        <v>175</v>
      </c>
      <c r="F44" s="127">
        <v>1116.91</v>
      </c>
      <c r="G44" s="124">
        <f>P44*$M$1</f>
        <v>137.56730000000002</v>
      </c>
      <c r="H44" s="124">
        <f>F44*G44</f>
        <v>153650.29304300004</v>
      </c>
      <c r="I44" s="125"/>
      <c r="J44" s="126"/>
      <c r="P44" s="124">
        <v>72.98</v>
      </c>
    </row>
    <row r="45" spans="1:16" ht="72">
      <c r="A45" s="10"/>
      <c r="B45" s="14" t="s">
        <v>161</v>
      </c>
      <c r="C45" s="89">
        <v>194</v>
      </c>
      <c r="D45" s="22" t="s">
        <v>80</v>
      </c>
      <c r="E45" s="24" t="s">
        <v>163</v>
      </c>
      <c r="F45" s="127">
        <v>147.38</v>
      </c>
      <c r="G45" s="124">
        <f>P45*$M$1</f>
        <v>66.29545</v>
      </c>
      <c r="H45" s="124">
        <f>F45*G45</f>
        <v>9770.623421</v>
      </c>
      <c r="I45" s="125"/>
      <c r="J45" s="126"/>
      <c r="P45" s="124">
        <v>35.17</v>
      </c>
    </row>
    <row r="46" spans="1:16" ht="60.75" thickBot="1">
      <c r="A46" s="25"/>
      <c r="B46" s="14" t="s">
        <v>164</v>
      </c>
      <c r="C46" s="84">
        <v>194</v>
      </c>
      <c r="D46" s="22" t="s">
        <v>78</v>
      </c>
      <c r="E46" s="24" t="s">
        <v>175</v>
      </c>
      <c r="F46" s="127">
        <f>F48</f>
        <v>1269.51</v>
      </c>
      <c r="G46" s="124">
        <f>P46*$M$1</f>
        <v>218.37725</v>
      </c>
      <c r="H46" s="124">
        <f>F46*G46</f>
        <v>277232.1026475</v>
      </c>
      <c r="I46" s="125"/>
      <c r="J46" s="126"/>
      <c r="P46" s="124">
        <v>115.85</v>
      </c>
    </row>
    <row r="47" spans="1:16" ht="12.75" thickBot="1">
      <c r="A47" s="100">
        <v>6</v>
      </c>
      <c r="B47" s="105"/>
      <c r="C47" s="106"/>
      <c r="D47" s="103" t="s">
        <v>177</v>
      </c>
      <c r="E47" s="108"/>
      <c r="F47" s="128"/>
      <c r="G47" s="129"/>
      <c r="H47" s="129"/>
      <c r="I47" s="120">
        <f>SUM(H48:H49)</f>
        <v>421912.79001299996</v>
      </c>
      <c r="J47" s="121">
        <f>I47*100/$I$226</f>
        <v>4.217323527940325</v>
      </c>
      <c r="P47" s="129"/>
    </row>
    <row r="48" spans="1:16" ht="24">
      <c r="A48" s="10"/>
      <c r="B48" s="11" t="s">
        <v>156</v>
      </c>
      <c r="C48" s="84">
        <v>201</v>
      </c>
      <c r="D48" s="17" t="s">
        <v>95</v>
      </c>
      <c r="E48" s="26" t="s">
        <v>175</v>
      </c>
      <c r="F48" s="122">
        <f>1325.75-F49</f>
        <v>1269.51</v>
      </c>
      <c r="G48" s="124">
        <f>P48*$M$1</f>
        <v>320.71389999999997</v>
      </c>
      <c r="H48" s="124">
        <f>F48*G48</f>
        <v>407149.50318899995</v>
      </c>
      <c r="I48" s="125"/>
      <c r="J48" s="130"/>
      <c r="K48" s="7"/>
      <c r="L48" s="7"/>
      <c r="P48" s="123">
        <v>170.14</v>
      </c>
    </row>
    <row r="49" spans="1:16" ht="12.75" thickBot="1">
      <c r="A49" s="10"/>
      <c r="B49" s="14" t="s">
        <v>159</v>
      </c>
      <c r="C49" s="92">
        <v>405</v>
      </c>
      <c r="D49" s="27" t="s">
        <v>3</v>
      </c>
      <c r="E49" s="24" t="s">
        <v>175</v>
      </c>
      <c r="F49" s="127">
        <v>56.24</v>
      </c>
      <c r="G49" s="124">
        <f>P49*$M$1</f>
        <v>262.50509999999997</v>
      </c>
      <c r="H49" s="124">
        <f>F49*G49</f>
        <v>14763.286823999999</v>
      </c>
      <c r="I49" s="125"/>
      <c r="J49" s="126"/>
      <c r="K49" s="7"/>
      <c r="L49" s="7"/>
      <c r="P49" s="142">
        <v>139.26</v>
      </c>
    </row>
    <row r="50" spans="1:16" ht="12.75" thickBot="1">
      <c r="A50" s="100">
        <v>7</v>
      </c>
      <c r="B50" s="105"/>
      <c r="C50" s="106"/>
      <c r="D50" s="103" t="s">
        <v>178</v>
      </c>
      <c r="E50" s="108"/>
      <c r="F50" s="128"/>
      <c r="G50" s="129"/>
      <c r="H50" s="129"/>
      <c r="I50" s="120">
        <f>SUM(H51:H53)</f>
        <v>499050.9086641</v>
      </c>
      <c r="J50" s="121">
        <f>I50*100/$I$226</f>
        <v>4.988374821925304</v>
      </c>
      <c r="K50" s="7"/>
      <c r="L50" s="7"/>
      <c r="P50" s="129"/>
    </row>
    <row r="51" spans="1:16" s="1" customFormat="1" ht="24">
      <c r="A51" s="10"/>
      <c r="B51" s="52" t="s">
        <v>156</v>
      </c>
      <c r="C51" s="84">
        <v>172</v>
      </c>
      <c r="D51" s="86" t="s">
        <v>241</v>
      </c>
      <c r="E51" s="87" t="s">
        <v>175</v>
      </c>
      <c r="F51" s="143">
        <f>F35+F37+F38</f>
        <v>433.636</v>
      </c>
      <c r="G51" s="124">
        <f>P51*$M$1</f>
        <v>211.61010000000002</v>
      </c>
      <c r="H51" s="144">
        <f>F51*G51</f>
        <v>91761.75732360002</v>
      </c>
      <c r="I51" s="145"/>
      <c r="J51" s="146"/>
      <c r="K51" s="28"/>
      <c r="L51" s="2"/>
      <c r="P51" s="141">
        <v>112.26</v>
      </c>
    </row>
    <row r="52" spans="1:16" s="1" customFormat="1" ht="12.75">
      <c r="A52" s="10"/>
      <c r="B52" s="14" t="s">
        <v>159</v>
      </c>
      <c r="C52" s="89">
        <v>172</v>
      </c>
      <c r="D52" s="22" t="s">
        <v>240</v>
      </c>
      <c r="E52" s="24" t="s">
        <v>175</v>
      </c>
      <c r="F52" s="127">
        <f>F35+F37+F38+F39+F40+F40</f>
        <v>1327.2060000000001</v>
      </c>
      <c r="G52" s="124">
        <f>P52*$M$1</f>
        <v>279.41355</v>
      </c>
      <c r="H52" s="124">
        <f>F52*G52</f>
        <v>370839.3400413</v>
      </c>
      <c r="I52" s="141"/>
      <c r="J52" s="146"/>
      <c r="K52" s="28"/>
      <c r="L52" s="2"/>
      <c r="P52" s="124">
        <v>148.23</v>
      </c>
    </row>
    <row r="53" spans="1:16" ht="60.75" thickBot="1">
      <c r="A53" s="10"/>
      <c r="B53" s="19" t="s">
        <v>161</v>
      </c>
      <c r="C53" s="84">
        <v>421</v>
      </c>
      <c r="D53" s="20" t="s">
        <v>4</v>
      </c>
      <c r="E53" s="29" t="s">
        <v>175</v>
      </c>
      <c r="F53" s="147">
        <f>F38</f>
        <v>218.816</v>
      </c>
      <c r="G53" s="124">
        <f>P53*$M$1</f>
        <v>166.57745</v>
      </c>
      <c r="H53" s="148">
        <f>F53*G53</f>
        <v>36449.8112992</v>
      </c>
      <c r="I53" s="149"/>
      <c r="J53" s="150"/>
      <c r="K53" s="7"/>
      <c r="L53" s="7"/>
      <c r="P53" s="138">
        <v>88.37</v>
      </c>
    </row>
    <row r="54" spans="1:16" ht="12.75" thickBot="1">
      <c r="A54" s="100">
        <v>8</v>
      </c>
      <c r="B54" s="105"/>
      <c r="C54" s="106"/>
      <c r="D54" s="103" t="s">
        <v>179</v>
      </c>
      <c r="E54" s="108"/>
      <c r="F54" s="128"/>
      <c r="G54" s="129"/>
      <c r="H54" s="129"/>
      <c r="I54" s="120">
        <f>SUM(H55:H57)</f>
        <v>361328.4890735001</v>
      </c>
      <c r="J54" s="121">
        <f>I54*100/$I$226</f>
        <v>3.611739616231705</v>
      </c>
      <c r="P54" s="129"/>
    </row>
    <row r="55" spans="1:16" ht="48">
      <c r="A55" s="10"/>
      <c r="B55" s="11" t="s">
        <v>156</v>
      </c>
      <c r="C55" s="84">
        <v>68</v>
      </c>
      <c r="D55" s="17" t="s">
        <v>242</v>
      </c>
      <c r="E55" s="26" t="s">
        <v>175</v>
      </c>
      <c r="F55" s="122">
        <f>F44</f>
        <v>1116.91</v>
      </c>
      <c r="G55" s="124">
        <f>P55*$M$1</f>
        <v>268.81985000000003</v>
      </c>
      <c r="H55" s="124">
        <f>F55*G55</f>
        <v>300247.5786635001</v>
      </c>
      <c r="I55" s="151"/>
      <c r="J55" s="152"/>
      <c r="P55" s="123">
        <v>142.61</v>
      </c>
    </row>
    <row r="56" spans="1:16" ht="48">
      <c r="A56" s="10"/>
      <c r="B56" s="14" t="s">
        <v>159</v>
      </c>
      <c r="C56" s="89">
        <v>68</v>
      </c>
      <c r="D56" s="22" t="s">
        <v>96</v>
      </c>
      <c r="E56" s="24" t="s">
        <v>175</v>
      </c>
      <c r="F56" s="127">
        <v>266.9</v>
      </c>
      <c r="G56" s="124">
        <f>P56*$M$1</f>
        <v>205.7289</v>
      </c>
      <c r="H56" s="124">
        <f>F56*G56</f>
        <v>54909.04341</v>
      </c>
      <c r="I56" s="151"/>
      <c r="J56" s="153"/>
      <c r="P56" s="124">
        <v>109.14</v>
      </c>
    </row>
    <row r="57" spans="1:16" ht="48.75" thickBot="1">
      <c r="A57" s="10"/>
      <c r="B57" s="14" t="s">
        <v>161</v>
      </c>
      <c r="C57" s="84">
        <v>68</v>
      </c>
      <c r="D57" s="22" t="s">
        <v>97</v>
      </c>
      <c r="E57" s="24" t="s">
        <v>175</v>
      </c>
      <c r="F57" s="127">
        <v>30</v>
      </c>
      <c r="G57" s="124">
        <f>P57*$M$1</f>
        <v>205.7289</v>
      </c>
      <c r="H57" s="124">
        <f>F57*G57</f>
        <v>6171.867</v>
      </c>
      <c r="I57" s="151"/>
      <c r="J57" s="153"/>
      <c r="P57" s="124">
        <v>109.14</v>
      </c>
    </row>
    <row r="58" spans="1:16" ht="12.75" thickBot="1">
      <c r="A58" s="100">
        <v>9</v>
      </c>
      <c r="B58" s="105"/>
      <c r="C58" s="106"/>
      <c r="D58" s="103" t="s">
        <v>180</v>
      </c>
      <c r="E58" s="108"/>
      <c r="F58" s="128"/>
      <c r="G58" s="129"/>
      <c r="H58" s="129"/>
      <c r="I58" s="120">
        <f>SUM(H59:H62)</f>
        <v>425164.6219106</v>
      </c>
      <c r="J58" s="121">
        <f>I58*100/$I$226</f>
        <v>4.249827939978255</v>
      </c>
      <c r="P58" s="129"/>
    </row>
    <row r="59" spans="1:16" ht="36">
      <c r="A59" s="10"/>
      <c r="B59" s="11" t="s">
        <v>156</v>
      </c>
      <c r="C59" s="84">
        <v>233</v>
      </c>
      <c r="D59" s="17" t="s">
        <v>33</v>
      </c>
      <c r="E59" s="26" t="s">
        <v>175</v>
      </c>
      <c r="F59" s="122">
        <v>149.8</v>
      </c>
      <c r="G59" s="124">
        <f>P59*$M$1</f>
        <v>178.1325</v>
      </c>
      <c r="H59" s="124">
        <f>F59*G59</f>
        <v>26684.2485</v>
      </c>
      <c r="I59" s="151"/>
      <c r="J59" s="152"/>
      <c r="P59" s="123">
        <v>94.5</v>
      </c>
    </row>
    <row r="60" spans="1:16" ht="36">
      <c r="A60" s="10"/>
      <c r="B60" s="14" t="s">
        <v>159</v>
      </c>
      <c r="C60" s="89">
        <v>233</v>
      </c>
      <c r="D60" s="22" t="s">
        <v>34</v>
      </c>
      <c r="E60" s="24" t="s">
        <v>175</v>
      </c>
      <c r="F60" s="127">
        <v>185.39</v>
      </c>
      <c r="G60" s="124">
        <f>P60*$M$1</f>
        <v>178.1325</v>
      </c>
      <c r="H60" s="124">
        <f>F60*G60</f>
        <v>33023.984175</v>
      </c>
      <c r="I60" s="151"/>
      <c r="J60" s="153"/>
      <c r="P60" s="124">
        <v>94.5</v>
      </c>
    </row>
    <row r="61" spans="1:16" s="1" customFormat="1" ht="24">
      <c r="A61" s="10"/>
      <c r="B61" s="34" t="s">
        <v>161</v>
      </c>
      <c r="C61" s="89">
        <v>238</v>
      </c>
      <c r="D61" s="27" t="s">
        <v>243</v>
      </c>
      <c r="E61" s="35" t="s">
        <v>175</v>
      </c>
      <c r="F61" s="154">
        <f>(0.654*13)+(0.42*19)</f>
        <v>16.482</v>
      </c>
      <c r="G61" s="124">
        <f>P61*$M$1</f>
        <v>153.9668</v>
      </c>
      <c r="H61" s="140">
        <f>F61*G61</f>
        <v>2537.6807976</v>
      </c>
      <c r="I61" s="151"/>
      <c r="J61" s="146"/>
      <c r="K61" s="2"/>
      <c r="L61" s="30"/>
      <c r="P61" s="124">
        <v>81.68</v>
      </c>
    </row>
    <row r="62" spans="1:16" s="1" customFormat="1" ht="132.75" thickBot="1">
      <c r="A62" s="10"/>
      <c r="B62" s="34" t="s">
        <v>164</v>
      </c>
      <c r="C62" s="84">
        <v>242</v>
      </c>
      <c r="D62" s="22" t="s">
        <v>32</v>
      </c>
      <c r="E62" s="24" t="s">
        <v>175</v>
      </c>
      <c r="F62" s="127">
        <v>781.72</v>
      </c>
      <c r="G62" s="124">
        <f>P62*$M$1</f>
        <v>464.25665</v>
      </c>
      <c r="H62" s="140">
        <f>F62*G62</f>
        <v>362918.708438</v>
      </c>
      <c r="I62" s="151"/>
      <c r="J62" s="146"/>
      <c r="K62" s="2"/>
      <c r="L62" s="30"/>
      <c r="P62" s="124">
        <v>246.29</v>
      </c>
    </row>
    <row r="63" spans="1:16" ht="12.75" thickBot="1">
      <c r="A63" s="100">
        <v>10</v>
      </c>
      <c r="B63" s="105"/>
      <c r="C63" s="106"/>
      <c r="D63" s="103" t="s">
        <v>181</v>
      </c>
      <c r="E63" s="108"/>
      <c r="F63" s="128"/>
      <c r="G63" s="129"/>
      <c r="H63" s="129"/>
      <c r="I63" s="120">
        <f>SUM(H64:H67)</f>
        <v>387057.3641545</v>
      </c>
      <c r="J63" s="121">
        <f>I63*100/$I$226</f>
        <v>3.8689183337178354</v>
      </c>
      <c r="P63" s="129"/>
    </row>
    <row r="64" spans="1:16" s="1" customFormat="1" ht="36">
      <c r="A64" s="10"/>
      <c r="B64" s="31" t="s">
        <v>156</v>
      </c>
      <c r="C64" s="84">
        <v>138</v>
      </c>
      <c r="D64" s="32" t="s">
        <v>5</v>
      </c>
      <c r="E64" s="33" t="s">
        <v>175</v>
      </c>
      <c r="F64" s="155">
        <v>12.8</v>
      </c>
      <c r="G64" s="124">
        <f>P64*$M$1</f>
        <v>261.95844999999997</v>
      </c>
      <c r="H64" s="145">
        <f>F64*G64</f>
        <v>3353.06816</v>
      </c>
      <c r="I64" s="151"/>
      <c r="J64" s="146"/>
      <c r="K64" s="2"/>
      <c r="P64" s="145">
        <v>138.97</v>
      </c>
    </row>
    <row r="65" spans="1:16" ht="84">
      <c r="A65" s="10"/>
      <c r="B65" s="34" t="s">
        <v>159</v>
      </c>
      <c r="C65" s="89">
        <v>359</v>
      </c>
      <c r="D65" s="27" t="s">
        <v>35</v>
      </c>
      <c r="E65" s="35" t="s">
        <v>175</v>
      </c>
      <c r="F65" s="154">
        <v>1192.07</v>
      </c>
      <c r="G65" s="124">
        <f>P65*$M$1</f>
        <v>282.99505</v>
      </c>
      <c r="H65" s="140">
        <f>F65*G65</f>
        <v>337349.9092535</v>
      </c>
      <c r="I65" s="151"/>
      <c r="J65" s="153"/>
      <c r="P65" s="140">
        <v>150.13</v>
      </c>
    </row>
    <row r="66" spans="1:16" s="1" customFormat="1" ht="36">
      <c r="A66" s="10"/>
      <c r="B66" s="14" t="s">
        <v>161</v>
      </c>
      <c r="C66" s="89">
        <v>68</v>
      </c>
      <c r="D66" s="22" t="s">
        <v>244</v>
      </c>
      <c r="E66" s="24" t="s">
        <v>175</v>
      </c>
      <c r="F66" s="127">
        <v>42.18</v>
      </c>
      <c r="G66" s="124">
        <f>P66*$M$1</f>
        <v>129.3487</v>
      </c>
      <c r="H66" s="124">
        <f>F66*G66</f>
        <v>5455.928166000001</v>
      </c>
      <c r="I66" s="151"/>
      <c r="J66" s="156"/>
      <c r="P66" s="124">
        <v>68.62</v>
      </c>
    </row>
    <row r="67" spans="1:16" ht="36.75" thickBot="1">
      <c r="A67" s="10"/>
      <c r="B67" s="19" t="s">
        <v>164</v>
      </c>
      <c r="C67" s="84">
        <v>141</v>
      </c>
      <c r="D67" s="36" t="s">
        <v>36</v>
      </c>
      <c r="E67" s="29" t="s">
        <v>175</v>
      </c>
      <c r="F67" s="147">
        <v>250.83</v>
      </c>
      <c r="G67" s="124">
        <f>P67*$M$1</f>
        <v>163.0525</v>
      </c>
      <c r="H67" s="138">
        <f>F67*G67</f>
        <v>40898.458575000004</v>
      </c>
      <c r="I67" s="151"/>
      <c r="J67" s="153"/>
      <c r="P67" s="157">
        <v>86.5</v>
      </c>
    </row>
    <row r="68" spans="1:16" ht="12.75" thickBot="1">
      <c r="A68" s="100">
        <v>11</v>
      </c>
      <c r="B68" s="105"/>
      <c r="C68" s="106"/>
      <c r="D68" s="103" t="s">
        <v>182</v>
      </c>
      <c r="E68" s="108"/>
      <c r="F68" s="128"/>
      <c r="G68" s="129"/>
      <c r="H68" s="129"/>
      <c r="I68" s="120">
        <f>SUM(H69:H71)</f>
        <v>135619.6401495</v>
      </c>
      <c r="J68" s="121">
        <f>I68*100/$I$226</f>
        <v>1.3556164041285963</v>
      </c>
      <c r="P68" s="129"/>
    </row>
    <row r="69" spans="1:16" ht="120">
      <c r="A69" s="37"/>
      <c r="B69" s="11" t="s">
        <v>156</v>
      </c>
      <c r="C69" s="85">
        <v>233</v>
      </c>
      <c r="D69" s="17" t="s">
        <v>252</v>
      </c>
      <c r="E69" s="26" t="s">
        <v>175</v>
      </c>
      <c r="F69" s="122">
        <v>303.51</v>
      </c>
      <c r="G69" s="124">
        <f>P69*$M$1</f>
        <v>383.2205</v>
      </c>
      <c r="H69" s="124">
        <f>F69*G69</f>
        <v>116311.25395500001</v>
      </c>
      <c r="I69" s="151"/>
      <c r="J69" s="153"/>
      <c r="P69" s="123">
        <v>203.3</v>
      </c>
    </row>
    <row r="70" spans="1:16" ht="96">
      <c r="A70" s="10"/>
      <c r="B70" s="14" t="s">
        <v>159</v>
      </c>
      <c r="C70" s="89">
        <v>233</v>
      </c>
      <c r="D70" s="22" t="s">
        <v>30</v>
      </c>
      <c r="E70" s="24" t="s">
        <v>175</v>
      </c>
      <c r="F70" s="127">
        <f>3.8*1.6</f>
        <v>6.08</v>
      </c>
      <c r="G70" s="124">
        <f>P70*$M$1</f>
        <v>383.2205</v>
      </c>
      <c r="H70" s="124">
        <f>F70*G70</f>
        <v>2329.98064</v>
      </c>
      <c r="I70" s="151"/>
      <c r="J70" s="153"/>
      <c r="K70" s="38"/>
      <c r="L70" s="38"/>
      <c r="M70" s="38"/>
      <c r="N70" s="38"/>
      <c r="P70" s="124">
        <v>203.3</v>
      </c>
    </row>
    <row r="71" spans="1:16" ht="48.75" thickBot="1">
      <c r="A71" s="10"/>
      <c r="B71" s="14" t="s">
        <v>161</v>
      </c>
      <c r="C71" s="84">
        <v>240</v>
      </c>
      <c r="D71" s="22" t="s">
        <v>276</v>
      </c>
      <c r="E71" s="24" t="s">
        <v>175</v>
      </c>
      <c r="F71" s="147">
        <f>85.07+184.04</f>
        <v>269.11</v>
      </c>
      <c r="G71" s="124">
        <f>P71*$M$1</f>
        <v>63.09095</v>
      </c>
      <c r="H71" s="124">
        <f>F71*G71</f>
        <v>16978.4055545</v>
      </c>
      <c r="I71" s="151"/>
      <c r="J71" s="153"/>
      <c r="K71" s="38"/>
      <c r="L71" s="38"/>
      <c r="M71" s="38"/>
      <c r="N71" s="38"/>
      <c r="P71" s="148">
        <v>33.47</v>
      </c>
    </row>
    <row r="72" spans="1:16" ht="12.75" thickBot="1">
      <c r="A72" s="100">
        <v>12</v>
      </c>
      <c r="B72" s="105"/>
      <c r="C72" s="106"/>
      <c r="D72" s="103" t="s">
        <v>122</v>
      </c>
      <c r="E72" s="108"/>
      <c r="F72" s="128"/>
      <c r="G72" s="129"/>
      <c r="H72" s="129"/>
      <c r="I72" s="120">
        <f>SUM(H73:H93)</f>
        <v>345875.69054999994</v>
      </c>
      <c r="J72" s="121">
        <f>I72*100/$I$226</f>
        <v>3.457277717165619</v>
      </c>
      <c r="K72" s="38"/>
      <c r="L72" s="38"/>
      <c r="M72" s="38"/>
      <c r="N72" s="38"/>
      <c r="P72" s="129"/>
    </row>
    <row r="73" spans="1:16" ht="18" customHeight="1">
      <c r="A73" s="10"/>
      <c r="B73" s="11" t="s">
        <v>156</v>
      </c>
      <c r="C73" s="84">
        <v>353</v>
      </c>
      <c r="D73" s="12" t="s">
        <v>38</v>
      </c>
      <c r="E73" s="26" t="s">
        <v>183</v>
      </c>
      <c r="F73" s="122">
        <v>1</v>
      </c>
      <c r="G73" s="124">
        <f aca="true" t="shared" si="6" ref="G73:G93">P73*$M$1</f>
        <v>22167.6</v>
      </c>
      <c r="H73" s="124">
        <f aca="true" t="shared" si="7" ref="H73:H84">F73*G73</f>
        <v>22167.6</v>
      </c>
      <c r="I73" s="151"/>
      <c r="J73" s="159"/>
      <c r="K73" s="38"/>
      <c r="L73" s="38"/>
      <c r="M73" s="38"/>
      <c r="N73" s="38"/>
      <c r="P73" s="158">
        <v>11760</v>
      </c>
    </row>
    <row r="74" spans="1:16" ht="18" customHeight="1">
      <c r="A74" s="10"/>
      <c r="B74" s="14" t="s">
        <v>159</v>
      </c>
      <c r="C74" s="89">
        <v>353</v>
      </c>
      <c r="D74" s="15" t="s">
        <v>247</v>
      </c>
      <c r="E74" s="24" t="s">
        <v>183</v>
      </c>
      <c r="F74" s="127">
        <v>1</v>
      </c>
      <c r="G74" s="124">
        <f t="shared" si="6"/>
        <v>10094.175</v>
      </c>
      <c r="H74" s="124">
        <f t="shared" si="7"/>
        <v>10094.175</v>
      </c>
      <c r="I74" s="151"/>
      <c r="J74" s="161"/>
      <c r="K74" s="38"/>
      <c r="L74" s="38"/>
      <c r="M74" s="38"/>
      <c r="N74" s="38"/>
      <c r="P74" s="160">
        <v>5355</v>
      </c>
    </row>
    <row r="75" spans="1:16" ht="18" customHeight="1">
      <c r="A75" s="10"/>
      <c r="B75" s="14" t="s">
        <v>161</v>
      </c>
      <c r="C75" s="89">
        <v>353</v>
      </c>
      <c r="D75" s="15" t="s">
        <v>248</v>
      </c>
      <c r="E75" s="24" t="s">
        <v>183</v>
      </c>
      <c r="F75" s="127">
        <v>1</v>
      </c>
      <c r="G75" s="124">
        <f t="shared" si="6"/>
        <v>2813.3625</v>
      </c>
      <c r="H75" s="124">
        <f>F75*G75</f>
        <v>2813.3625</v>
      </c>
      <c r="I75" s="151"/>
      <c r="J75" s="161"/>
      <c r="K75" s="38"/>
      <c r="L75" s="38"/>
      <c r="M75" s="38"/>
      <c r="N75" s="38"/>
      <c r="P75" s="160">
        <v>1492.5</v>
      </c>
    </row>
    <row r="76" spans="1:16" ht="18" customHeight="1">
      <c r="A76" s="10"/>
      <c r="B76" s="14" t="s">
        <v>164</v>
      </c>
      <c r="C76" s="89">
        <v>353</v>
      </c>
      <c r="D76" s="15" t="s">
        <v>249</v>
      </c>
      <c r="E76" s="24" t="s">
        <v>183</v>
      </c>
      <c r="F76" s="127">
        <v>1</v>
      </c>
      <c r="G76" s="124">
        <f t="shared" si="6"/>
        <v>7204.47</v>
      </c>
      <c r="H76" s="124">
        <f>F76*G76</f>
        <v>7204.47</v>
      </c>
      <c r="I76" s="151"/>
      <c r="J76" s="161"/>
      <c r="K76" s="38"/>
      <c r="L76" s="38"/>
      <c r="M76" s="38"/>
      <c r="N76" s="38"/>
      <c r="P76" s="160">
        <v>3822</v>
      </c>
    </row>
    <row r="77" spans="1:16" ht="18" customHeight="1">
      <c r="A77" s="10"/>
      <c r="B77" s="14" t="s">
        <v>166</v>
      </c>
      <c r="C77" s="89">
        <v>353</v>
      </c>
      <c r="D77" s="15" t="s">
        <v>13</v>
      </c>
      <c r="E77" s="24" t="s">
        <v>183</v>
      </c>
      <c r="F77" s="127">
        <v>1</v>
      </c>
      <c r="G77" s="124">
        <f t="shared" si="6"/>
        <v>15852.85</v>
      </c>
      <c r="H77" s="124">
        <f t="shared" si="7"/>
        <v>15852.85</v>
      </c>
      <c r="I77" s="151"/>
      <c r="J77" s="161"/>
      <c r="K77" s="38"/>
      <c r="L77" s="38"/>
      <c r="M77" s="38"/>
      <c r="N77" s="38"/>
      <c r="P77" s="160">
        <v>8410</v>
      </c>
    </row>
    <row r="78" spans="1:16" ht="18" customHeight="1">
      <c r="A78" s="10"/>
      <c r="B78" s="14" t="s">
        <v>168</v>
      </c>
      <c r="C78" s="89">
        <v>353</v>
      </c>
      <c r="D78" s="15" t="s">
        <v>40</v>
      </c>
      <c r="E78" s="24" t="s">
        <v>183</v>
      </c>
      <c r="F78" s="127">
        <v>4</v>
      </c>
      <c r="G78" s="124">
        <f t="shared" si="6"/>
        <v>4651.2375</v>
      </c>
      <c r="H78" s="124">
        <f t="shared" si="7"/>
        <v>18604.95</v>
      </c>
      <c r="I78" s="151"/>
      <c r="J78" s="161"/>
      <c r="K78" s="38"/>
      <c r="L78" s="38"/>
      <c r="M78" s="38"/>
      <c r="N78" s="38"/>
      <c r="P78" s="160">
        <v>2467.5</v>
      </c>
    </row>
    <row r="79" spans="1:16" ht="18" customHeight="1">
      <c r="A79" s="10"/>
      <c r="B79" s="14" t="s">
        <v>184</v>
      </c>
      <c r="C79" s="89">
        <v>353</v>
      </c>
      <c r="D79" s="15" t="s">
        <v>41</v>
      </c>
      <c r="E79" s="24" t="s">
        <v>183</v>
      </c>
      <c r="F79" s="127">
        <v>8</v>
      </c>
      <c r="G79" s="124">
        <f t="shared" si="6"/>
        <v>2691.1014</v>
      </c>
      <c r="H79" s="124">
        <f t="shared" si="7"/>
        <v>21528.8112</v>
      </c>
      <c r="I79" s="151"/>
      <c r="J79" s="161"/>
      <c r="K79" s="38"/>
      <c r="L79" s="38"/>
      <c r="M79" s="38"/>
      <c r="N79" s="38"/>
      <c r="P79" s="160">
        <v>1427.64</v>
      </c>
    </row>
    <row r="80" spans="1:16" ht="18" customHeight="1">
      <c r="A80" s="10"/>
      <c r="B80" s="14" t="s">
        <v>185</v>
      </c>
      <c r="C80" s="89">
        <v>353</v>
      </c>
      <c r="D80" s="15" t="s">
        <v>42</v>
      </c>
      <c r="E80" s="24" t="s">
        <v>183</v>
      </c>
      <c r="F80" s="127">
        <v>14</v>
      </c>
      <c r="G80" s="124">
        <f t="shared" si="6"/>
        <v>2474.0625</v>
      </c>
      <c r="H80" s="124">
        <f>F80*G80</f>
        <v>34636.875</v>
      </c>
      <c r="I80" s="151"/>
      <c r="J80" s="161"/>
      <c r="K80" s="38"/>
      <c r="L80" s="38"/>
      <c r="M80" s="38"/>
      <c r="N80" s="38"/>
      <c r="P80" s="160">
        <v>1312.5</v>
      </c>
    </row>
    <row r="81" spans="1:16" ht="18" customHeight="1">
      <c r="A81" s="10"/>
      <c r="B81" s="14" t="s">
        <v>186</v>
      </c>
      <c r="C81" s="89">
        <v>353</v>
      </c>
      <c r="D81" s="15" t="s">
        <v>43</v>
      </c>
      <c r="E81" s="24" t="s">
        <v>183</v>
      </c>
      <c r="F81" s="127">
        <v>1</v>
      </c>
      <c r="G81" s="124">
        <f t="shared" si="6"/>
        <v>2968.875</v>
      </c>
      <c r="H81" s="124">
        <f>F81*G81</f>
        <v>2968.875</v>
      </c>
      <c r="I81" s="151"/>
      <c r="J81" s="161"/>
      <c r="K81" s="38"/>
      <c r="L81" s="38"/>
      <c r="M81" s="38"/>
      <c r="N81" s="38"/>
      <c r="P81" s="160">
        <v>1575</v>
      </c>
    </row>
    <row r="82" spans="1:16" ht="18" customHeight="1">
      <c r="A82" s="10"/>
      <c r="B82" s="14" t="s">
        <v>187</v>
      </c>
      <c r="C82" s="89">
        <v>353</v>
      </c>
      <c r="D82" s="15" t="s">
        <v>250</v>
      </c>
      <c r="E82" s="24" t="s">
        <v>183</v>
      </c>
      <c r="F82" s="127">
        <v>1</v>
      </c>
      <c r="G82" s="124">
        <f t="shared" si="6"/>
        <v>2375.1</v>
      </c>
      <c r="H82" s="124">
        <f t="shared" si="7"/>
        <v>2375.1</v>
      </c>
      <c r="I82" s="151"/>
      <c r="J82" s="161"/>
      <c r="K82" s="38"/>
      <c r="L82" s="38"/>
      <c r="M82" s="38"/>
      <c r="N82" s="38"/>
      <c r="P82" s="160">
        <v>1260</v>
      </c>
    </row>
    <row r="83" spans="1:16" ht="18" customHeight="1">
      <c r="A83" s="10"/>
      <c r="B83" s="14" t="s">
        <v>188</v>
      </c>
      <c r="C83" s="89">
        <v>353</v>
      </c>
      <c r="D83" s="15" t="s">
        <v>251</v>
      </c>
      <c r="E83" s="24" t="s">
        <v>183</v>
      </c>
      <c r="F83" s="127">
        <v>1</v>
      </c>
      <c r="G83" s="124">
        <f t="shared" si="6"/>
        <v>5883.6882000000005</v>
      </c>
      <c r="H83" s="124">
        <f t="shared" si="7"/>
        <v>5883.6882000000005</v>
      </c>
      <c r="I83" s="151"/>
      <c r="J83" s="161"/>
      <c r="K83" s="38"/>
      <c r="L83" s="38"/>
      <c r="M83" s="38"/>
      <c r="N83" s="38"/>
      <c r="P83" s="160">
        <v>3121.32</v>
      </c>
    </row>
    <row r="84" spans="1:16" ht="18" customHeight="1">
      <c r="A84" s="10"/>
      <c r="B84" s="34" t="s">
        <v>189</v>
      </c>
      <c r="C84" s="89">
        <v>353</v>
      </c>
      <c r="D84" s="39" t="s">
        <v>253</v>
      </c>
      <c r="E84" s="35" t="s">
        <v>183</v>
      </c>
      <c r="F84" s="154">
        <v>1</v>
      </c>
      <c r="G84" s="124">
        <f t="shared" si="6"/>
        <v>3661.6125</v>
      </c>
      <c r="H84" s="124">
        <f t="shared" si="7"/>
        <v>3661.6125</v>
      </c>
      <c r="I84" s="151"/>
      <c r="J84" s="161"/>
      <c r="K84" s="38"/>
      <c r="L84" s="38"/>
      <c r="M84" s="38"/>
      <c r="N84" s="38"/>
      <c r="P84" s="162">
        <v>1942.5</v>
      </c>
    </row>
    <row r="85" spans="1:16" ht="18" customHeight="1">
      <c r="A85" s="10"/>
      <c r="B85" s="14" t="s">
        <v>190</v>
      </c>
      <c r="C85" s="89">
        <v>359</v>
      </c>
      <c r="D85" s="15" t="s">
        <v>39</v>
      </c>
      <c r="E85" s="24" t="s">
        <v>183</v>
      </c>
      <c r="F85" s="127">
        <v>1</v>
      </c>
      <c r="G85" s="124">
        <f t="shared" si="6"/>
        <v>3087.63</v>
      </c>
      <c r="H85" s="124">
        <f aca="true" t="shared" si="8" ref="H85:H92">F85*G85</f>
        <v>3087.63</v>
      </c>
      <c r="I85" s="151"/>
      <c r="J85" s="161"/>
      <c r="K85" s="38"/>
      <c r="L85" s="38"/>
      <c r="M85" s="38"/>
      <c r="N85" s="38"/>
      <c r="P85" s="160">
        <v>1638</v>
      </c>
    </row>
    <row r="86" spans="1:16" ht="18" customHeight="1">
      <c r="A86" s="10"/>
      <c r="B86" s="14" t="s">
        <v>191</v>
      </c>
      <c r="C86" s="89">
        <v>359</v>
      </c>
      <c r="D86" s="15" t="s">
        <v>254</v>
      </c>
      <c r="E86" s="24" t="s">
        <v>183</v>
      </c>
      <c r="F86" s="127">
        <v>3</v>
      </c>
      <c r="G86" s="124">
        <f t="shared" si="6"/>
        <v>2414.685</v>
      </c>
      <c r="H86" s="124">
        <f t="shared" si="8"/>
        <v>7244.055</v>
      </c>
      <c r="I86" s="151"/>
      <c r="J86" s="161"/>
      <c r="K86" s="38"/>
      <c r="L86" s="38"/>
      <c r="M86" s="38"/>
      <c r="N86" s="38"/>
      <c r="P86" s="160">
        <v>1281</v>
      </c>
    </row>
    <row r="87" spans="1:16" ht="18" customHeight="1">
      <c r="A87" s="10"/>
      <c r="B87" s="14" t="s">
        <v>192</v>
      </c>
      <c r="C87" s="89">
        <v>359</v>
      </c>
      <c r="D87" s="15" t="s">
        <v>255</v>
      </c>
      <c r="E87" s="24" t="s">
        <v>183</v>
      </c>
      <c r="F87" s="127">
        <v>1</v>
      </c>
      <c r="G87" s="124">
        <f t="shared" si="6"/>
        <v>4492.8975</v>
      </c>
      <c r="H87" s="124">
        <f t="shared" si="8"/>
        <v>4492.8975</v>
      </c>
      <c r="I87" s="151"/>
      <c r="J87" s="161"/>
      <c r="K87" s="38"/>
      <c r="L87" s="38"/>
      <c r="M87" s="38"/>
      <c r="N87" s="38"/>
      <c r="P87" s="160">
        <v>2383.5</v>
      </c>
    </row>
    <row r="88" spans="1:16" ht="18" customHeight="1">
      <c r="A88" s="10"/>
      <c r="B88" s="14" t="s">
        <v>193</v>
      </c>
      <c r="C88" s="89">
        <v>359</v>
      </c>
      <c r="D88" s="15" t="s">
        <v>256</v>
      </c>
      <c r="E88" s="24" t="s">
        <v>183</v>
      </c>
      <c r="F88" s="127">
        <v>1</v>
      </c>
      <c r="G88" s="124">
        <f t="shared" si="6"/>
        <v>11495.483999999999</v>
      </c>
      <c r="H88" s="124">
        <f t="shared" si="8"/>
        <v>11495.483999999999</v>
      </c>
      <c r="I88" s="151"/>
      <c r="J88" s="161"/>
      <c r="K88" s="38"/>
      <c r="L88" s="38"/>
      <c r="M88" s="38"/>
      <c r="N88" s="38"/>
      <c r="P88" s="160">
        <v>6098.4</v>
      </c>
    </row>
    <row r="89" spans="1:16" ht="18" customHeight="1">
      <c r="A89" s="10"/>
      <c r="B89" s="14" t="s">
        <v>84</v>
      </c>
      <c r="C89" s="89">
        <v>359</v>
      </c>
      <c r="D89" s="15" t="s">
        <v>257</v>
      </c>
      <c r="E89" s="24" t="s">
        <v>183</v>
      </c>
      <c r="F89" s="127">
        <v>1</v>
      </c>
      <c r="G89" s="124">
        <f t="shared" si="6"/>
        <v>2834.286</v>
      </c>
      <c r="H89" s="124">
        <f t="shared" si="8"/>
        <v>2834.286</v>
      </c>
      <c r="I89" s="151"/>
      <c r="J89" s="161"/>
      <c r="K89" s="38"/>
      <c r="L89" s="38"/>
      <c r="M89" s="38"/>
      <c r="N89" s="38"/>
      <c r="P89" s="160">
        <v>1503.6</v>
      </c>
    </row>
    <row r="90" spans="1:16" ht="18" customHeight="1">
      <c r="A90" s="10"/>
      <c r="B90" s="14" t="s">
        <v>85</v>
      </c>
      <c r="C90" s="89">
        <v>359</v>
      </c>
      <c r="D90" s="15" t="s">
        <v>258</v>
      </c>
      <c r="E90" s="24" t="s">
        <v>183</v>
      </c>
      <c r="F90" s="127">
        <v>16</v>
      </c>
      <c r="G90" s="124">
        <f t="shared" si="6"/>
        <v>8777.97375</v>
      </c>
      <c r="H90" s="124">
        <f>F90*G90</f>
        <v>140447.58</v>
      </c>
      <c r="I90" s="151"/>
      <c r="J90" s="161"/>
      <c r="K90" s="38"/>
      <c r="L90" s="38"/>
      <c r="M90" s="38"/>
      <c r="N90" s="38"/>
      <c r="P90" s="160">
        <v>4656.75</v>
      </c>
    </row>
    <row r="91" spans="1:16" ht="18" customHeight="1">
      <c r="A91" s="10"/>
      <c r="B91" s="14" t="s">
        <v>86</v>
      </c>
      <c r="C91" s="89">
        <v>390</v>
      </c>
      <c r="D91" s="15" t="s">
        <v>44</v>
      </c>
      <c r="E91" s="24" t="s">
        <v>183</v>
      </c>
      <c r="F91" s="127">
        <v>1</v>
      </c>
      <c r="G91" s="124">
        <f t="shared" si="6"/>
        <v>5363.7675</v>
      </c>
      <c r="H91" s="124">
        <f>F91*G91</f>
        <v>5363.7675</v>
      </c>
      <c r="I91" s="151"/>
      <c r="J91" s="161"/>
      <c r="K91" s="38"/>
      <c r="L91" s="38"/>
      <c r="M91" s="38"/>
      <c r="N91" s="38"/>
      <c r="P91" s="160">
        <v>2845.5</v>
      </c>
    </row>
    <row r="92" spans="1:16" ht="24">
      <c r="A92" s="10"/>
      <c r="B92" s="14" t="s">
        <v>274</v>
      </c>
      <c r="C92" s="89">
        <v>390</v>
      </c>
      <c r="D92" s="15" t="s">
        <v>6</v>
      </c>
      <c r="E92" s="24" t="s">
        <v>183</v>
      </c>
      <c r="F92" s="127">
        <v>1</v>
      </c>
      <c r="G92" s="124">
        <f t="shared" si="6"/>
        <v>13521.7459</v>
      </c>
      <c r="H92" s="124">
        <f t="shared" si="8"/>
        <v>13521.7459</v>
      </c>
      <c r="I92" s="151"/>
      <c r="J92" s="161"/>
      <c r="K92" s="38"/>
      <c r="L92" s="38"/>
      <c r="M92" s="38"/>
      <c r="N92" s="38"/>
      <c r="P92" s="160">
        <v>7173.34</v>
      </c>
    </row>
    <row r="93" spans="1:16" ht="24.75" thickBot="1">
      <c r="A93" s="10"/>
      <c r="B93" s="14" t="s">
        <v>275</v>
      </c>
      <c r="C93" s="84">
        <v>390</v>
      </c>
      <c r="D93" s="15" t="s">
        <v>7</v>
      </c>
      <c r="E93" s="24" t="s">
        <v>183</v>
      </c>
      <c r="F93" s="127">
        <v>1</v>
      </c>
      <c r="G93" s="124">
        <f t="shared" si="6"/>
        <v>9595.87525</v>
      </c>
      <c r="H93" s="124">
        <f>F93*G93</f>
        <v>9595.87525</v>
      </c>
      <c r="I93" s="151"/>
      <c r="J93" s="161"/>
      <c r="K93" s="38"/>
      <c r="L93" s="38"/>
      <c r="M93" s="38"/>
      <c r="N93" s="38"/>
      <c r="P93" s="160">
        <v>5090.65</v>
      </c>
    </row>
    <row r="94" spans="1:16" ht="12.75" thickBot="1">
      <c r="A94" s="100">
        <v>13</v>
      </c>
      <c r="B94" s="105"/>
      <c r="C94" s="106"/>
      <c r="D94" s="103" t="s">
        <v>224</v>
      </c>
      <c r="E94" s="108"/>
      <c r="F94" s="128"/>
      <c r="G94" s="129"/>
      <c r="H94" s="129"/>
      <c r="I94" s="120">
        <f>SUM(H95:H106)</f>
        <v>151967.81405</v>
      </c>
      <c r="J94" s="121">
        <f>I94*100/$I$226</f>
        <v>1.5190282277600018</v>
      </c>
      <c r="P94" s="129"/>
    </row>
    <row r="95" spans="1:16" ht="24">
      <c r="A95" s="10"/>
      <c r="B95" s="11" t="s">
        <v>156</v>
      </c>
      <c r="C95" s="84">
        <v>385</v>
      </c>
      <c r="D95" s="15" t="s">
        <v>14</v>
      </c>
      <c r="E95" s="26" t="s">
        <v>163</v>
      </c>
      <c r="F95" s="122">
        <v>42.7</v>
      </c>
      <c r="G95" s="124">
        <f aca="true" t="shared" si="9" ref="G95:G106">P95*$M$1</f>
        <v>266.7275</v>
      </c>
      <c r="H95" s="124">
        <f aca="true" t="shared" si="10" ref="H95:H106">F95*G95</f>
        <v>11389.264250000002</v>
      </c>
      <c r="I95" s="151"/>
      <c r="J95" s="161"/>
      <c r="P95" s="123">
        <v>141.5</v>
      </c>
    </row>
    <row r="96" spans="1:16" ht="24">
      <c r="A96" s="10"/>
      <c r="B96" s="14" t="s">
        <v>159</v>
      </c>
      <c r="C96" s="89">
        <v>385</v>
      </c>
      <c r="D96" s="15" t="s">
        <v>15</v>
      </c>
      <c r="E96" s="24" t="s">
        <v>163</v>
      </c>
      <c r="F96" s="127">
        <f>29.8+22.7</f>
        <v>52.5</v>
      </c>
      <c r="G96" s="124">
        <f t="shared" si="9"/>
        <v>266.7275</v>
      </c>
      <c r="H96" s="124">
        <f t="shared" si="10"/>
        <v>14003.19375</v>
      </c>
      <c r="I96" s="151"/>
      <c r="J96" s="161"/>
      <c r="P96" s="124">
        <v>141.5</v>
      </c>
    </row>
    <row r="97" spans="1:16" ht="24">
      <c r="A97" s="10"/>
      <c r="B97" s="14" t="s">
        <v>161</v>
      </c>
      <c r="C97" s="89">
        <v>385</v>
      </c>
      <c r="D97" s="15" t="s">
        <v>16</v>
      </c>
      <c r="E97" s="24" t="s">
        <v>163</v>
      </c>
      <c r="F97" s="127">
        <f>22.7+32.74</f>
        <v>55.44</v>
      </c>
      <c r="G97" s="124">
        <f t="shared" si="9"/>
        <v>266.7275</v>
      </c>
      <c r="H97" s="124">
        <f t="shared" si="10"/>
        <v>14787.3726</v>
      </c>
      <c r="I97" s="151"/>
      <c r="J97" s="161"/>
      <c r="P97" s="124">
        <v>141.5</v>
      </c>
    </row>
    <row r="98" spans="1:16" ht="24">
      <c r="A98" s="10"/>
      <c r="B98" s="14" t="s">
        <v>164</v>
      </c>
      <c r="C98" s="89">
        <v>385</v>
      </c>
      <c r="D98" s="15" t="s">
        <v>226</v>
      </c>
      <c r="E98" s="24" t="s">
        <v>163</v>
      </c>
      <c r="F98" s="127">
        <v>144.6</v>
      </c>
      <c r="G98" s="124">
        <f t="shared" si="9"/>
        <v>266.7275</v>
      </c>
      <c r="H98" s="124">
        <f t="shared" si="10"/>
        <v>38568.796500000004</v>
      </c>
      <c r="I98" s="151"/>
      <c r="J98" s="161"/>
      <c r="P98" s="124">
        <v>141.5</v>
      </c>
    </row>
    <row r="99" spans="1:16" ht="24">
      <c r="A99" s="10"/>
      <c r="B99" s="14" t="s">
        <v>166</v>
      </c>
      <c r="C99" s="89">
        <v>385</v>
      </c>
      <c r="D99" s="39" t="s">
        <v>17</v>
      </c>
      <c r="E99" s="24" t="s">
        <v>163</v>
      </c>
      <c r="F99" s="127">
        <f>(7*2)+(4*4)</f>
        <v>30</v>
      </c>
      <c r="G99" s="124">
        <f t="shared" si="9"/>
        <v>266.7275</v>
      </c>
      <c r="H99" s="124">
        <f t="shared" si="10"/>
        <v>8001.825000000001</v>
      </c>
      <c r="I99" s="151"/>
      <c r="J99" s="161"/>
      <c r="P99" s="124">
        <v>141.5</v>
      </c>
    </row>
    <row r="100" spans="1:16" s="1" customFormat="1" ht="36">
      <c r="A100" s="10"/>
      <c r="B100" s="14" t="s">
        <v>168</v>
      </c>
      <c r="C100" s="89">
        <v>390</v>
      </c>
      <c r="D100" s="39" t="s">
        <v>228</v>
      </c>
      <c r="E100" s="24" t="s">
        <v>163</v>
      </c>
      <c r="F100" s="127">
        <f>7*4</f>
        <v>28</v>
      </c>
      <c r="G100" s="124">
        <f t="shared" si="9"/>
        <v>576.1314</v>
      </c>
      <c r="H100" s="124">
        <f t="shared" si="10"/>
        <v>16131.679199999999</v>
      </c>
      <c r="I100" s="151"/>
      <c r="J100" s="163"/>
      <c r="K100" s="2"/>
      <c r="P100" s="124">
        <v>305.64</v>
      </c>
    </row>
    <row r="101" spans="1:16" s="1" customFormat="1" ht="24">
      <c r="A101" s="10"/>
      <c r="B101" s="14" t="s">
        <v>184</v>
      </c>
      <c r="C101" s="89">
        <v>390</v>
      </c>
      <c r="D101" s="15" t="s">
        <v>227</v>
      </c>
      <c r="E101" s="24" t="s">
        <v>163</v>
      </c>
      <c r="F101" s="127">
        <f>19.7+30.9</f>
        <v>50.599999999999994</v>
      </c>
      <c r="G101" s="124">
        <f t="shared" si="9"/>
        <v>576.1314</v>
      </c>
      <c r="H101" s="124">
        <f t="shared" si="10"/>
        <v>29152.248839999997</v>
      </c>
      <c r="I101" s="151"/>
      <c r="J101" s="163"/>
      <c r="K101" s="2"/>
      <c r="P101" s="124">
        <v>305.64</v>
      </c>
    </row>
    <row r="102" spans="1:16" s="1" customFormat="1" ht="24">
      <c r="A102" s="10"/>
      <c r="B102" s="14" t="s">
        <v>185</v>
      </c>
      <c r="C102" s="89">
        <v>390</v>
      </c>
      <c r="D102" s="15" t="s">
        <v>229</v>
      </c>
      <c r="E102" s="24" t="s">
        <v>163</v>
      </c>
      <c r="F102" s="127">
        <f>4.2+4.2+2.55</f>
        <v>10.95</v>
      </c>
      <c r="G102" s="124">
        <f t="shared" si="9"/>
        <v>576.1314</v>
      </c>
      <c r="H102" s="124">
        <f t="shared" si="10"/>
        <v>6308.63883</v>
      </c>
      <c r="I102" s="151"/>
      <c r="J102" s="163"/>
      <c r="K102" s="2"/>
      <c r="P102" s="124">
        <v>305.64</v>
      </c>
    </row>
    <row r="103" spans="1:16" s="1" customFormat="1" ht="24">
      <c r="A103" s="10"/>
      <c r="B103" s="14" t="s">
        <v>186</v>
      </c>
      <c r="C103" s="89">
        <v>390</v>
      </c>
      <c r="D103" s="15" t="s">
        <v>234</v>
      </c>
      <c r="E103" s="24" t="s">
        <v>163</v>
      </c>
      <c r="F103" s="127">
        <v>5.65</v>
      </c>
      <c r="G103" s="124">
        <f t="shared" si="9"/>
        <v>576.1314</v>
      </c>
      <c r="H103" s="124">
        <f t="shared" si="10"/>
        <v>3255.14241</v>
      </c>
      <c r="I103" s="151"/>
      <c r="J103" s="163"/>
      <c r="K103" s="2"/>
      <c r="P103" s="124">
        <v>305.64</v>
      </c>
    </row>
    <row r="104" spans="1:16" s="1" customFormat="1" ht="24">
      <c r="A104" s="10"/>
      <c r="B104" s="14" t="s">
        <v>187</v>
      </c>
      <c r="C104" s="89">
        <v>390</v>
      </c>
      <c r="D104" s="40" t="s">
        <v>225</v>
      </c>
      <c r="E104" s="24" t="s">
        <v>163</v>
      </c>
      <c r="F104" s="127">
        <v>4.3</v>
      </c>
      <c r="G104" s="124">
        <f t="shared" si="9"/>
        <v>576.1314</v>
      </c>
      <c r="H104" s="124">
        <f t="shared" si="10"/>
        <v>2477.3650199999997</v>
      </c>
      <c r="I104" s="151"/>
      <c r="J104" s="163"/>
      <c r="K104" s="2"/>
      <c r="P104" s="124">
        <v>305.64</v>
      </c>
    </row>
    <row r="105" spans="1:16" ht="62.25" customHeight="1">
      <c r="A105" s="10"/>
      <c r="B105" s="14" t="s">
        <v>188</v>
      </c>
      <c r="C105" s="89">
        <v>390</v>
      </c>
      <c r="D105" s="22" t="s">
        <v>47</v>
      </c>
      <c r="E105" s="24" t="s">
        <v>88</v>
      </c>
      <c r="F105" s="127">
        <v>1</v>
      </c>
      <c r="G105" s="124">
        <f t="shared" si="9"/>
        <v>2189.10705</v>
      </c>
      <c r="H105" s="124">
        <f t="shared" si="10"/>
        <v>2189.10705</v>
      </c>
      <c r="I105" s="151"/>
      <c r="J105" s="161"/>
      <c r="P105" s="124">
        <v>1161.33</v>
      </c>
    </row>
    <row r="106" spans="1:16" s="1" customFormat="1" ht="24.75" thickBot="1">
      <c r="A106" s="10"/>
      <c r="B106" s="14" t="s">
        <v>189</v>
      </c>
      <c r="C106" s="84">
        <v>390</v>
      </c>
      <c r="D106" s="41" t="s">
        <v>232</v>
      </c>
      <c r="E106" s="24" t="s">
        <v>169</v>
      </c>
      <c r="F106" s="127">
        <v>1</v>
      </c>
      <c r="G106" s="124">
        <f t="shared" si="9"/>
        <v>5703.1806</v>
      </c>
      <c r="H106" s="124">
        <f t="shared" si="10"/>
        <v>5703.1806</v>
      </c>
      <c r="I106" s="151"/>
      <c r="J106" s="163"/>
      <c r="K106" s="2"/>
      <c r="P106" s="124">
        <v>3025.56</v>
      </c>
    </row>
    <row r="107" spans="1:16" ht="12.75" thickBot="1">
      <c r="A107" s="100">
        <v>14</v>
      </c>
      <c r="B107" s="105"/>
      <c r="C107" s="106"/>
      <c r="D107" s="103" t="s">
        <v>194</v>
      </c>
      <c r="E107" s="108"/>
      <c r="F107" s="128"/>
      <c r="G107" s="129"/>
      <c r="H107" s="129"/>
      <c r="I107" s="120">
        <f>SUM(H108:H115)</f>
        <v>208260.8559772</v>
      </c>
      <c r="J107" s="121">
        <f>I107*100/$I$226</f>
        <v>2.081717901546845</v>
      </c>
      <c r="P107" s="129"/>
    </row>
    <row r="108" spans="1:16" ht="24">
      <c r="A108" s="10"/>
      <c r="B108" s="31" t="s">
        <v>156</v>
      </c>
      <c r="C108" s="84">
        <v>494</v>
      </c>
      <c r="D108" s="32" t="s">
        <v>45</v>
      </c>
      <c r="E108" s="33" t="s">
        <v>169</v>
      </c>
      <c r="F108" s="155">
        <v>1</v>
      </c>
      <c r="G108" s="124">
        <f aca="true" t="shared" si="11" ref="G108:G115">P108*$M$1</f>
        <v>7569.311750000001</v>
      </c>
      <c r="H108" s="124">
        <f aca="true" t="shared" si="12" ref="H108:H115">F108*G108</f>
        <v>7569.311750000001</v>
      </c>
      <c r="I108" s="151"/>
      <c r="J108" s="161"/>
      <c r="P108" s="145">
        <v>4015.55</v>
      </c>
    </row>
    <row r="109" spans="1:16" ht="24">
      <c r="A109" s="10"/>
      <c r="B109" s="14" t="s">
        <v>159</v>
      </c>
      <c r="C109" s="89">
        <v>494</v>
      </c>
      <c r="D109" s="15" t="s">
        <v>231</v>
      </c>
      <c r="E109" s="24" t="s">
        <v>169</v>
      </c>
      <c r="F109" s="127">
        <v>1</v>
      </c>
      <c r="G109" s="124">
        <f t="shared" si="11"/>
        <v>11103.9318</v>
      </c>
      <c r="H109" s="124">
        <f t="shared" si="12"/>
        <v>11103.9318</v>
      </c>
      <c r="I109" s="151"/>
      <c r="J109" s="161"/>
      <c r="P109" s="124">
        <v>5890.68</v>
      </c>
    </row>
    <row r="110" spans="1:16" ht="24">
      <c r="A110" s="10"/>
      <c r="B110" s="14" t="s">
        <v>161</v>
      </c>
      <c r="C110" s="89">
        <v>494</v>
      </c>
      <c r="D110" s="15" t="s">
        <v>233</v>
      </c>
      <c r="E110" s="24" t="s">
        <v>169</v>
      </c>
      <c r="F110" s="127">
        <v>1</v>
      </c>
      <c r="G110" s="124">
        <f t="shared" si="11"/>
        <v>7294.6484</v>
      </c>
      <c r="H110" s="124">
        <f t="shared" si="12"/>
        <v>7294.6484</v>
      </c>
      <c r="I110" s="151"/>
      <c r="J110" s="161"/>
      <c r="P110" s="124">
        <v>3869.84</v>
      </c>
    </row>
    <row r="111" spans="1:16" ht="24">
      <c r="A111" s="10"/>
      <c r="B111" s="14" t="s">
        <v>164</v>
      </c>
      <c r="C111" s="89">
        <v>423</v>
      </c>
      <c r="D111" s="15" t="s">
        <v>230</v>
      </c>
      <c r="E111" s="24" t="s">
        <v>175</v>
      </c>
      <c r="F111" s="127">
        <f>F66+F67</f>
        <v>293.01</v>
      </c>
      <c r="G111" s="124">
        <f t="shared" si="11"/>
        <v>68.68939999999999</v>
      </c>
      <c r="H111" s="124">
        <f t="shared" si="12"/>
        <v>20126.681093999996</v>
      </c>
      <c r="I111" s="151"/>
      <c r="J111" s="161"/>
      <c r="P111" s="124">
        <v>36.44</v>
      </c>
    </row>
    <row r="112" spans="1:16" ht="12">
      <c r="A112" s="10"/>
      <c r="B112" s="14" t="s">
        <v>166</v>
      </c>
      <c r="C112" s="89">
        <v>423</v>
      </c>
      <c r="D112" s="15" t="s">
        <v>18</v>
      </c>
      <c r="E112" s="24" t="s">
        <v>175</v>
      </c>
      <c r="F112" s="127">
        <f>F52</f>
        <v>1327.2060000000001</v>
      </c>
      <c r="G112" s="124">
        <f t="shared" si="11"/>
        <v>61.95994999999999</v>
      </c>
      <c r="H112" s="124">
        <f t="shared" si="12"/>
        <v>82233.6173997</v>
      </c>
      <c r="I112" s="151"/>
      <c r="J112" s="161"/>
      <c r="P112" s="124">
        <v>32.87</v>
      </c>
    </row>
    <row r="113" spans="1:16" ht="12">
      <c r="A113" s="10"/>
      <c r="B113" s="14" t="s">
        <v>168</v>
      </c>
      <c r="C113" s="89">
        <v>422</v>
      </c>
      <c r="D113" s="15" t="s">
        <v>277</v>
      </c>
      <c r="E113" s="24" t="s">
        <v>158</v>
      </c>
      <c r="F113" s="127">
        <v>1</v>
      </c>
      <c r="G113" s="124">
        <f t="shared" si="11"/>
        <v>37997.83</v>
      </c>
      <c r="H113" s="124">
        <f t="shared" si="12"/>
        <v>37997.83</v>
      </c>
      <c r="I113" s="151"/>
      <c r="J113" s="161"/>
      <c r="P113" s="124">
        <v>20158</v>
      </c>
    </row>
    <row r="114" spans="1:16" ht="24">
      <c r="A114" s="10"/>
      <c r="B114" s="14" t="s">
        <v>184</v>
      </c>
      <c r="C114" s="89">
        <v>428</v>
      </c>
      <c r="D114" s="15" t="s">
        <v>46</v>
      </c>
      <c r="E114" s="24" t="s">
        <v>175</v>
      </c>
      <c r="F114" s="127">
        <f>F71</f>
        <v>269.11</v>
      </c>
      <c r="G114" s="124">
        <f t="shared" si="11"/>
        <v>121.78985</v>
      </c>
      <c r="H114" s="124">
        <f t="shared" si="12"/>
        <v>32774.866533500004</v>
      </c>
      <c r="I114" s="151"/>
      <c r="J114" s="161"/>
      <c r="P114" s="124">
        <v>64.61</v>
      </c>
    </row>
    <row r="115" spans="1:16" ht="48.75" thickBot="1">
      <c r="A115" s="10"/>
      <c r="B115" s="14" t="s">
        <v>185</v>
      </c>
      <c r="C115" s="84">
        <v>494</v>
      </c>
      <c r="D115" s="15" t="s">
        <v>87</v>
      </c>
      <c r="E115" s="24" t="s">
        <v>158</v>
      </c>
      <c r="F115" s="127">
        <v>1</v>
      </c>
      <c r="G115" s="124">
        <f t="shared" si="11"/>
        <v>9159.969</v>
      </c>
      <c r="H115" s="124">
        <f t="shared" si="12"/>
        <v>9159.969</v>
      </c>
      <c r="I115" s="151"/>
      <c r="J115" s="161"/>
      <c r="P115" s="142">
        <v>4859.4</v>
      </c>
    </row>
    <row r="116" spans="1:16" ht="24.75" thickBot="1">
      <c r="A116" s="109" t="s">
        <v>195</v>
      </c>
      <c r="B116" s="105"/>
      <c r="C116" s="110"/>
      <c r="D116" s="103" t="s">
        <v>126</v>
      </c>
      <c r="E116" s="108"/>
      <c r="F116" s="128"/>
      <c r="G116" s="129"/>
      <c r="H116" s="129"/>
      <c r="I116" s="120">
        <f>SUM(H117:H126)</f>
        <v>78917.826585</v>
      </c>
      <c r="J116" s="121">
        <f>I116*100/$I$226</f>
        <v>0.7888407621408681</v>
      </c>
      <c r="P116" s="129"/>
    </row>
    <row r="117" spans="1:16" ht="60">
      <c r="A117" s="10"/>
      <c r="B117" s="31" t="s">
        <v>156</v>
      </c>
      <c r="C117" s="84">
        <v>370</v>
      </c>
      <c r="D117" s="42" t="s">
        <v>49</v>
      </c>
      <c r="E117" s="33" t="s">
        <v>88</v>
      </c>
      <c r="F117" s="155">
        <v>1</v>
      </c>
      <c r="G117" s="124">
        <f aca="true" t="shared" si="13" ref="G117:G126">P117*$M$1</f>
        <v>1822.3426</v>
      </c>
      <c r="H117" s="124">
        <f aca="true" t="shared" si="14" ref="H117:H126">F117*G117</f>
        <v>1822.3426</v>
      </c>
      <c r="I117" s="151"/>
      <c r="J117" s="161"/>
      <c r="P117" s="145">
        <v>966.76</v>
      </c>
    </row>
    <row r="118" spans="1:16" ht="36">
      <c r="A118" s="10"/>
      <c r="B118" s="14" t="s">
        <v>159</v>
      </c>
      <c r="C118" s="89">
        <v>370</v>
      </c>
      <c r="D118" s="22" t="s">
        <v>50</v>
      </c>
      <c r="E118" s="24" t="s">
        <v>88</v>
      </c>
      <c r="F118" s="127">
        <v>1</v>
      </c>
      <c r="G118" s="124">
        <f t="shared" si="13"/>
        <v>1257.01225</v>
      </c>
      <c r="H118" s="124">
        <f>F118*G118</f>
        <v>1257.01225</v>
      </c>
      <c r="I118" s="151"/>
      <c r="J118" s="161"/>
      <c r="P118" s="124">
        <v>666.85</v>
      </c>
    </row>
    <row r="119" spans="1:16" ht="20.25" customHeight="1">
      <c r="A119" s="10"/>
      <c r="B119" s="14" t="s">
        <v>161</v>
      </c>
      <c r="C119" s="89">
        <v>68</v>
      </c>
      <c r="D119" s="22" t="s">
        <v>266</v>
      </c>
      <c r="E119" s="24" t="s">
        <v>88</v>
      </c>
      <c r="F119" s="127">
        <v>1</v>
      </c>
      <c r="G119" s="124">
        <f t="shared" si="13"/>
        <v>14432.163199999999</v>
      </c>
      <c r="H119" s="124">
        <f t="shared" si="14"/>
        <v>14432.163199999999</v>
      </c>
      <c r="I119" s="151"/>
      <c r="J119" s="161"/>
      <c r="P119" s="124">
        <v>7656.32</v>
      </c>
    </row>
    <row r="120" spans="1:16" ht="51" customHeight="1">
      <c r="A120" s="10"/>
      <c r="B120" s="14" t="s">
        <v>164</v>
      </c>
      <c r="C120" s="89">
        <v>311</v>
      </c>
      <c r="D120" s="22" t="s">
        <v>273</v>
      </c>
      <c r="E120" s="24" t="s">
        <v>88</v>
      </c>
      <c r="F120" s="127">
        <v>1</v>
      </c>
      <c r="G120" s="124">
        <f t="shared" si="13"/>
        <v>5986.9108</v>
      </c>
      <c r="H120" s="124">
        <f t="shared" si="14"/>
        <v>5986.9108</v>
      </c>
      <c r="I120" s="151"/>
      <c r="J120" s="161"/>
      <c r="P120" s="124">
        <v>3176.08</v>
      </c>
    </row>
    <row r="121" spans="1:16" ht="36">
      <c r="A121" s="10"/>
      <c r="B121" s="14" t="s">
        <v>166</v>
      </c>
      <c r="C121" s="89">
        <v>139</v>
      </c>
      <c r="D121" s="22" t="s">
        <v>48</v>
      </c>
      <c r="E121" s="24" t="s">
        <v>88</v>
      </c>
      <c r="F121" s="127">
        <v>15</v>
      </c>
      <c r="G121" s="124">
        <f t="shared" si="13"/>
        <v>68.16159999999999</v>
      </c>
      <c r="H121" s="124">
        <f t="shared" si="14"/>
        <v>1022.4239999999999</v>
      </c>
      <c r="I121" s="151"/>
      <c r="J121" s="161"/>
      <c r="P121" s="124">
        <v>36.16</v>
      </c>
    </row>
    <row r="122" spans="1:16" ht="60">
      <c r="A122" s="10"/>
      <c r="B122" s="14" t="s">
        <v>168</v>
      </c>
      <c r="C122" s="89">
        <v>101</v>
      </c>
      <c r="D122" s="22" t="s">
        <v>55</v>
      </c>
      <c r="E122" s="24" t="s">
        <v>175</v>
      </c>
      <c r="F122" s="127">
        <v>10.55</v>
      </c>
      <c r="G122" s="124">
        <f t="shared" si="13"/>
        <v>457.301</v>
      </c>
      <c r="H122" s="124">
        <f>F122*G122</f>
        <v>4824.52555</v>
      </c>
      <c r="I122" s="151"/>
      <c r="J122" s="161"/>
      <c r="P122" s="124">
        <v>242.6</v>
      </c>
    </row>
    <row r="123" spans="1:16" ht="60">
      <c r="A123" s="10"/>
      <c r="B123" s="14" t="s">
        <v>184</v>
      </c>
      <c r="C123" s="89">
        <v>101</v>
      </c>
      <c r="D123" s="22" t="s">
        <v>56</v>
      </c>
      <c r="E123" s="24" t="s">
        <v>175</v>
      </c>
      <c r="F123" s="127">
        <v>5.91</v>
      </c>
      <c r="G123" s="124">
        <f t="shared" si="13"/>
        <v>457.301</v>
      </c>
      <c r="H123" s="124">
        <f>F123*G123</f>
        <v>2702.64891</v>
      </c>
      <c r="I123" s="151"/>
      <c r="J123" s="161"/>
      <c r="P123" s="124">
        <v>242.6</v>
      </c>
    </row>
    <row r="124" spans="1:16" ht="48">
      <c r="A124" s="10"/>
      <c r="B124" s="14" t="s">
        <v>185</v>
      </c>
      <c r="C124" s="89">
        <v>101</v>
      </c>
      <c r="D124" s="22" t="s">
        <v>57</v>
      </c>
      <c r="E124" s="24" t="s">
        <v>175</v>
      </c>
      <c r="F124" s="127">
        <v>8.31</v>
      </c>
      <c r="G124" s="124">
        <f t="shared" si="13"/>
        <v>457.301</v>
      </c>
      <c r="H124" s="124">
        <f>F124*G124</f>
        <v>3800.17131</v>
      </c>
      <c r="I124" s="151"/>
      <c r="J124" s="161"/>
      <c r="P124" s="124">
        <v>242.6</v>
      </c>
    </row>
    <row r="125" spans="1:16" ht="60">
      <c r="A125" s="10"/>
      <c r="B125" s="14" t="s">
        <v>186</v>
      </c>
      <c r="C125" s="89">
        <v>101</v>
      </c>
      <c r="D125" s="22" t="s">
        <v>58</v>
      </c>
      <c r="E125" s="24" t="s">
        <v>175</v>
      </c>
      <c r="F125" s="127">
        <v>12.06</v>
      </c>
      <c r="G125" s="124">
        <f t="shared" si="13"/>
        <v>457.301</v>
      </c>
      <c r="H125" s="124">
        <f>F125*G125</f>
        <v>5515.0500600000005</v>
      </c>
      <c r="I125" s="151"/>
      <c r="J125" s="161"/>
      <c r="P125" s="124">
        <v>242.6</v>
      </c>
    </row>
    <row r="126" spans="1:16" ht="24.75" thickBot="1">
      <c r="A126" s="10"/>
      <c r="B126" s="14" t="s">
        <v>187</v>
      </c>
      <c r="C126" s="84">
        <v>507</v>
      </c>
      <c r="D126" s="22" t="s">
        <v>149</v>
      </c>
      <c r="E126" s="24" t="s">
        <v>175</v>
      </c>
      <c r="F126" s="127">
        <v>166.9</v>
      </c>
      <c r="G126" s="124">
        <f t="shared" si="13"/>
        <v>225.01245</v>
      </c>
      <c r="H126" s="124">
        <f t="shared" si="14"/>
        <v>37554.577905</v>
      </c>
      <c r="I126" s="151"/>
      <c r="J126" s="161"/>
      <c r="P126" s="124">
        <v>119.37</v>
      </c>
    </row>
    <row r="127" spans="1:16" ht="12.75" thickBot="1">
      <c r="A127" s="100">
        <v>16</v>
      </c>
      <c r="B127" s="105"/>
      <c r="C127" s="106"/>
      <c r="D127" s="103" t="s">
        <v>196</v>
      </c>
      <c r="E127" s="108"/>
      <c r="F127" s="128"/>
      <c r="G127" s="129"/>
      <c r="H127" s="129"/>
      <c r="I127" s="120">
        <f>SUM(H129:H161)</f>
        <v>209717.927575</v>
      </c>
      <c r="J127" s="121">
        <f>I127*100/$I$226</f>
        <v>2.096282386143546</v>
      </c>
      <c r="P127" s="129"/>
    </row>
    <row r="128" spans="1:16" ht="12">
      <c r="A128" s="43"/>
      <c r="B128" s="44" t="s">
        <v>73</v>
      </c>
      <c r="C128" s="69"/>
      <c r="D128" s="45" t="s">
        <v>197</v>
      </c>
      <c r="E128" s="26"/>
      <c r="F128" s="164"/>
      <c r="G128" s="165"/>
      <c r="H128" s="165"/>
      <c r="I128" s="125"/>
      <c r="J128" s="166"/>
      <c r="P128" s="165"/>
    </row>
    <row r="129" spans="1:16" ht="84">
      <c r="A129" s="43"/>
      <c r="B129" s="14" t="s">
        <v>156</v>
      </c>
      <c r="C129" s="89">
        <v>271</v>
      </c>
      <c r="D129" s="22" t="s">
        <v>112</v>
      </c>
      <c r="E129" s="24" t="s">
        <v>163</v>
      </c>
      <c r="F129" s="167">
        <v>59</v>
      </c>
      <c r="G129" s="124">
        <f aca="true" t="shared" si="15" ref="G129:G161">P129*$M$1</f>
        <v>161.2052</v>
      </c>
      <c r="H129" s="124">
        <f aca="true" t="shared" si="16" ref="H129:H134">F129*G129</f>
        <v>9511.1068</v>
      </c>
      <c r="I129" s="125"/>
      <c r="J129" s="166"/>
      <c r="P129" s="124">
        <v>85.52</v>
      </c>
    </row>
    <row r="130" spans="1:16" ht="84">
      <c r="A130" s="43"/>
      <c r="B130" s="14" t="s">
        <v>159</v>
      </c>
      <c r="C130" s="89">
        <v>271</v>
      </c>
      <c r="D130" s="22" t="s">
        <v>81</v>
      </c>
      <c r="E130" s="24" t="s">
        <v>163</v>
      </c>
      <c r="F130" s="167">
        <f>4.3+3.2+15.2+16+4+4.7+11.5+4.9</f>
        <v>63.800000000000004</v>
      </c>
      <c r="G130" s="124">
        <f t="shared" si="15"/>
        <v>83.694</v>
      </c>
      <c r="H130" s="124">
        <f t="shared" si="16"/>
        <v>5339.6772</v>
      </c>
      <c r="I130" s="125"/>
      <c r="J130" s="166"/>
      <c r="P130" s="124">
        <v>44.4</v>
      </c>
    </row>
    <row r="131" spans="1:16" ht="72">
      <c r="A131" s="43"/>
      <c r="B131" s="14" t="s">
        <v>161</v>
      </c>
      <c r="C131" s="89">
        <v>271</v>
      </c>
      <c r="D131" s="22" t="s">
        <v>132</v>
      </c>
      <c r="E131" s="24" t="s">
        <v>163</v>
      </c>
      <c r="F131" s="167">
        <f>3.4+7.5+2+9+5</f>
        <v>26.9</v>
      </c>
      <c r="G131" s="124">
        <f t="shared" si="15"/>
        <v>66.25775</v>
      </c>
      <c r="H131" s="124">
        <f t="shared" si="16"/>
        <v>1782.333475</v>
      </c>
      <c r="I131" s="125"/>
      <c r="J131" s="166"/>
      <c r="P131" s="124">
        <v>35.15</v>
      </c>
    </row>
    <row r="132" spans="1:16" ht="60">
      <c r="A132" s="43"/>
      <c r="B132" s="14" t="s">
        <v>164</v>
      </c>
      <c r="C132" s="89">
        <v>271</v>
      </c>
      <c r="D132" s="22" t="s">
        <v>110</v>
      </c>
      <c r="E132" s="24" t="s">
        <v>163</v>
      </c>
      <c r="F132" s="167">
        <v>5</v>
      </c>
      <c r="G132" s="124">
        <f t="shared" si="15"/>
        <v>60.4331</v>
      </c>
      <c r="H132" s="124">
        <f t="shared" si="16"/>
        <v>302.1655</v>
      </c>
      <c r="I132" s="125"/>
      <c r="J132" s="166"/>
      <c r="P132" s="124">
        <v>32.06</v>
      </c>
    </row>
    <row r="133" spans="1:16" ht="60">
      <c r="A133" s="43"/>
      <c r="B133" s="14" t="s">
        <v>166</v>
      </c>
      <c r="C133" s="89">
        <v>271</v>
      </c>
      <c r="D133" s="22" t="s">
        <v>111</v>
      </c>
      <c r="E133" s="24" t="s">
        <v>163</v>
      </c>
      <c r="F133" s="167">
        <f>27*3</f>
        <v>81</v>
      </c>
      <c r="G133" s="124">
        <f t="shared" si="15"/>
        <v>57.0778</v>
      </c>
      <c r="H133" s="124">
        <f t="shared" si="16"/>
        <v>4623.3018</v>
      </c>
      <c r="I133" s="125"/>
      <c r="J133" s="166"/>
      <c r="P133" s="124">
        <v>30.28</v>
      </c>
    </row>
    <row r="134" spans="1:16" ht="48">
      <c r="A134" s="43"/>
      <c r="B134" s="14" t="s">
        <v>168</v>
      </c>
      <c r="C134" s="89">
        <v>271</v>
      </c>
      <c r="D134" s="15" t="s">
        <v>157</v>
      </c>
      <c r="E134" s="24" t="s">
        <v>183</v>
      </c>
      <c r="F134" s="127">
        <v>7</v>
      </c>
      <c r="G134" s="124">
        <f t="shared" si="15"/>
        <v>1848.7703</v>
      </c>
      <c r="H134" s="124">
        <f t="shared" si="16"/>
        <v>12941.3921</v>
      </c>
      <c r="I134" s="125"/>
      <c r="J134" s="166"/>
      <c r="P134" s="124">
        <v>980.78</v>
      </c>
    </row>
    <row r="135" spans="1:16" ht="12">
      <c r="A135" s="43"/>
      <c r="B135" s="46" t="s">
        <v>74</v>
      </c>
      <c r="C135" s="89"/>
      <c r="D135" s="47" t="s">
        <v>198</v>
      </c>
      <c r="E135" s="24"/>
      <c r="F135" s="127"/>
      <c r="G135" s="124"/>
      <c r="H135" s="168"/>
      <c r="I135" s="125"/>
      <c r="J135" s="166"/>
      <c r="P135" s="168"/>
    </row>
    <row r="136" spans="1:16" ht="96">
      <c r="A136" s="43"/>
      <c r="B136" s="14" t="s">
        <v>156</v>
      </c>
      <c r="C136" s="89">
        <v>261</v>
      </c>
      <c r="D136" s="15" t="s">
        <v>9</v>
      </c>
      <c r="E136" s="24" t="s">
        <v>163</v>
      </c>
      <c r="F136" s="127">
        <v>45</v>
      </c>
      <c r="G136" s="124">
        <f t="shared" si="15"/>
        <v>101.1114</v>
      </c>
      <c r="H136" s="124">
        <f aca="true" t="shared" si="17" ref="H136:H142">F136*G136</f>
        <v>4550.013</v>
      </c>
      <c r="I136" s="125"/>
      <c r="J136" s="166"/>
      <c r="P136" s="124">
        <v>53.64</v>
      </c>
    </row>
    <row r="137" spans="1:16" ht="84">
      <c r="A137" s="43"/>
      <c r="B137" s="14" t="s">
        <v>159</v>
      </c>
      <c r="C137" s="89">
        <v>261</v>
      </c>
      <c r="D137" s="15" t="s">
        <v>89</v>
      </c>
      <c r="E137" s="24" t="s">
        <v>163</v>
      </c>
      <c r="F137" s="127">
        <v>14</v>
      </c>
      <c r="G137" s="124">
        <f t="shared" si="15"/>
        <v>259.92265</v>
      </c>
      <c r="H137" s="124">
        <f t="shared" si="17"/>
        <v>3638.9170999999997</v>
      </c>
      <c r="I137" s="125"/>
      <c r="J137" s="166"/>
      <c r="P137" s="124">
        <v>137.89</v>
      </c>
    </row>
    <row r="138" spans="1:16" ht="84">
      <c r="A138" s="43"/>
      <c r="B138" s="14" t="s">
        <v>161</v>
      </c>
      <c r="C138" s="89">
        <v>261</v>
      </c>
      <c r="D138" s="15" t="s">
        <v>8</v>
      </c>
      <c r="E138" s="24" t="s">
        <v>163</v>
      </c>
      <c r="F138" s="127">
        <v>67</v>
      </c>
      <c r="G138" s="124">
        <f t="shared" si="15"/>
        <v>197.26525</v>
      </c>
      <c r="H138" s="124">
        <f t="shared" si="17"/>
        <v>13216.77175</v>
      </c>
      <c r="I138" s="125"/>
      <c r="J138" s="166"/>
      <c r="P138" s="124">
        <v>104.65</v>
      </c>
    </row>
    <row r="139" spans="1:16" ht="84">
      <c r="A139" s="43"/>
      <c r="B139" s="14" t="s">
        <v>164</v>
      </c>
      <c r="C139" s="89">
        <v>261</v>
      </c>
      <c r="D139" s="15" t="s">
        <v>90</v>
      </c>
      <c r="E139" s="24" t="s">
        <v>163</v>
      </c>
      <c r="F139" s="127">
        <v>189</v>
      </c>
      <c r="G139" s="124">
        <f t="shared" si="15"/>
        <v>160.88475</v>
      </c>
      <c r="H139" s="124">
        <f t="shared" si="17"/>
        <v>30407.21775</v>
      </c>
      <c r="I139" s="125"/>
      <c r="J139" s="166"/>
      <c r="P139" s="124">
        <v>85.35</v>
      </c>
    </row>
    <row r="140" spans="1:16" ht="84">
      <c r="A140" s="43"/>
      <c r="B140" s="14" t="s">
        <v>166</v>
      </c>
      <c r="C140" s="89">
        <v>261</v>
      </c>
      <c r="D140" s="15" t="s">
        <v>104</v>
      </c>
      <c r="E140" s="24" t="s">
        <v>163</v>
      </c>
      <c r="F140" s="127">
        <v>12</v>
      </c>
      <c r="G140" s="124">
        <f t="shared" si="15"/>
        <v>120.8662</v>
      </c>
      <c r="H140" s="124">
        <f t="shared" si="17"/>
        <v>1450.3944000000001</v>
      </c>
      <c r="I140" s="125"/>
      <c r="J140" s="166"/>
      <c r="P140" s="124">
        <v>64.12</v>
      </c>
    </row>
    <row r="141" spans="1:16" ht="84">
      <c r="A141" s="43"/>
      <c r="B141" s="14" t="s">
        <v>168</v>
      </c>
      <c r="C141" s="89">
        <v>261</v>
      </c>
      <c r="D141" s="15" t="s">
        <v>105</v>
      </c>
      <c r="E141" s="24" t="s">
        <v>163</v>
      </c>
      <c r="F141" s="127">
        <v>138</v>
      </c>
      <c r="G141" s="124">
        <f t="shared" si="15"/>
        <v>98.3593</v>
      </c>
      <c r="H141" s="124">
        <f t="shared" si="17"/>
        <v>13573.583400000001</v>
      </c>
      <c r="I141" s="125"/>
      <c r="J141" s="166"/>
      <c r="P141" s="124">
        <v>52.18</v>
      </c>
    </row>
    <row r="142" spans="1:16" ht="84">
      <c r="A142" s="43"/>
      <c r="B142" s="14" t="s">
        <v>184</v>
      </c>
      <c r="C142" s="89">
        <v>261</v>
      </c>
      <c r="D142" s="15" t="s">
        <v>106</v>
      </c>
      <c r="E142" s="24" t="s">
        <v>163</v>
      </c>
      <c r="F142" s="127">
        <v>36</v>
      </c>
      <c r="G142" s="124">
        <f t="shared" si="15"/>
        <v>80.77225</v>
      </c>
      <c r="H142" s="124">
        <f t="shared" si="17"/>
        <v>2907.801</v>
      </c>
      <c r="I142" s="125"/>
      <c r="J142" s="166"/>
      <c r="P142" s="124">
        <v>42.85</v>
      </c>
    </row>
    <row r="143" spans="1:16" ht="12">
      <c r="A143" s="43"/>
      <c r="B143" s="46" t="s">
        <v>107</v>
      </c>
      <c r="C143" s="89"/>
      <c r="D143" s="48" t="s">
        <v>200</v>
      </c>
      <c r="E143" s="49"/>
      <c r="F143" s="169"/>
      <c r="G143" s="124"/>
      <c r="H143" s="170"/>
      <c r="I143" s="171"/>
      <c r="J143" s="172"/>
      <c r="P143" s="170"/>
    </row>
    <row r="144" spans="1:16" ht="60">
      <c r="A144" s="43"/>
      <c r="B144" s="14" t="s">
        <v>156</v>
      </c>
      <c r="C144" s="89">
        <v>315</v>
      </c>
      <c r="D144" s="15" t="s">
        <v>52</v>
      </c>
      <c r="E144" s="24" t="s">
        <v>183</v>
      </c>
      <c r="F144" s="127">
        <v>10</v>
      </c>
      <c r="G144" s="124">
        <f t="shared" si="15"/>
        <v>1736.89555</v>
      </c>
      <c r="H144" s="124">
        <f aca="true" t="shared" si="18" ref="H144:H156">F144*G144</f>
        <v>17368.9555</v>
      </c>
      <c r="I144" s="201"/>
      <c r="J144" s="153"/>
      <c r="P144" s="124">
        <v>921.43</v>
      </c>
    </row>
    <row r="145" spans="1:16" ht="48">
      <c r="A145" s="43"/>
      <c r="B145" s="14" t="s">
        <v>159</v>
      </c>
      <c r="C145" s="89">
        <v>315</v>
      </c>
      <c r="D145" s="15" t="s">
        <v>53</v>
      </c>
      <c r="E145" s="24" t="s">
        <v>183</v>
      </c>
      <c r="F145" s="127">
        <v>2</v>
      </c>
      <c r="G145" s="124">
        <f t="shared" si="15"/>
        <v>531.47575</v>
      </c>
      <c r="H145" s="124">
        <f>F145*G145</f>
        <v>1062.9515</v>
      </c>
      <c r="I145" s="201"/>
      <c r="J145" s="161"/>
      <c r="P145" s="124">
        <v>281.95</v>
      </c>
    </row>
    <row r="146" spans="1:16" ht="48">
      <c r="A146" s="43"/>
      <c r="B146" s="14" t="s">
        <v>161</v>
      </c>
      <c r="C146" s="89">
        <v>315</v>
      </c>
      <c r="D146" s="15" t="s">
        <v>59</v>
      </c>
      <c r="E146" s="24" t="s">
        <v>183</v>
      </c>
      <c r="F146" s="127">
        <v>4</v>
      </c>
      <c r="G146" s="124">
        <f t="shared" si="15"/>
        <v>1183.53495</v>
      </c>
      <c r="H146" s="124">
        <f t="shared" si="18"/>
        <v>4734.1398</v>
      </c>
      <c r="I146" s="201"/>
      <c r="J146" s="161"/>
      <c r="P146" s="124">
        <v>627.87</v>
      </c>
    </row>
    <row r="147" spans="1:16" ht="60">
      <c r="A147" s="43"/>
      <c r="B147" s="14" t="s">
        <v>164</v>
      </c>
      <c r="C147" s="89">
        <v>315</v>
      </c>
      <c r="D147" s="15" t="s">
        <v>60</v>
      </c>
      <c r="E147" s="24" t="s">
        <v>183</v>
      </c>
      <c r="F147" s="127">
        <v>2</v>
      </c>
      <c r="G147" s="124">
        <f t="shared" si="15"/>
        <v>2706.04945</v>
      </c>
      <c r="H147" s="124">
        <f t="shared" si="18"/>
        <v>5412.0989</v>
      </c>
      <c r="I147" s="201"/>
      <c r="J147" s="161"/>
      <c r="P147" s="124">
        <v>1435.57</v>
      </c>
    </row>
    <row r="148" spans="1:16" ht="48">
      <c r="A148" s="43"/>
      <c r="B148" s="14" t="s">
        <v>166</v>
      </c>
      <c r="C148" s="89">
        <v>315</v>
      </c>
      <c r="D148" s="15" t="s">
        <v>54</v>
      </c>
      <c r="E148" s="24" t="s">
        <v>183</v>
      </c>
      <c r="F148" s="127">
        <v>2</v>
      </c>
      <c r="G148" s="124">
        <f t="shared" si="15"/>
        <v>1562.19375</v>
      </c>
      <c r="H148" s="124">
        <f t="shared" si="18"/>
        <v>3124.3875</v>
      </c>
      <c r="I148" s="151"/>
      <c r="J148" s="161"/>
      <c r="P148" s="124">
        <v>828.75</v>
      </c>
    </row>
    <row r="149" spans="1:16" ht="60">
      <c r="A149" s="43"/>
      <c r="B149" s="14" t="s">
        <v>168</v>
      </c>
      <c r="C149" s="89">
        <v>315</v>
      </c>
      <c r="D149" s="15" t="s">
        <v>61</v>
      </c>
      <c r="E149" s="24" t="s">
        <v>183</v>
      </c>
      <c r="F149" s="127">
        <v>4</v>
      </c>
      <c r="G149" s="124">
        <f t="shared" si="15"/>
        <v>2939.97795</v>
      </c>
      <c r="H149" s="124">
        <f t="shared" si="18"/>
        <v>11759.9118</v>
      </c>
      <c r="I149" s="201"/>
      <c r="J149" s="161"/>
      <c r="P149" s="124">
        <v>1559.67</v>
      </c>
    </row>
    <row r="150" spans="1:16" ht="60">
      <c r="A150" s="43"/>
      <c r="B150" s="14" t="s">
        <v>184</v>
      </c>
      <c r="C150" s="89">
        <v>315</v>
      </c>
      <c r="D150" s="15" t="s">
        <v>62</v>
      </c>
      <c r="E150" s="24" t="s">
        <v>183</v>
      </c>
      <c r="F150" s="127">
        <v>4</v>
      </c>
      <c r="G150" s="124">
        <f t="shared" si="15"/>
        <v>1688.67725</v>
      </c>
      <c r="H150" s="124">
        <f t="shared" si="18"/>
        <v>6754.709</v>
      </c>
      <c r="I150" s="201"/>
      <c r="J150" s="161"/>
      <c r="P150" s="124">
        <v>895.85</v>
      </c>
    </row>
    <row r="151" spans="1:16" ht="144">
      <c r="A151" s="43"/>
      <c r="B151" s="14" t="s">
        <v>185</v>
      </c>
      <c r="C151" s="89">
        <v>315</v>
      </c>
      <c r="D151" s="15" t="s">
        <v>23</v>
      </c>
      <c r="E151" s="24" t="s">
        <v>183</v>
      </c>
      <c r="F151" s="127">
        <v>1</v>
      </c>
      <c r="G151" s="124">
        <f t="shared" si="15"/>
        <v>16303.760849999999</v>
      </c>
      <c r="H151" s="124">
        <f t="shared" si="18"/>
        <v>16303.760849999999</v>
      </c>
      <c r="I151" s="151"/>
      <c r="J151" s="153"/>
      <c r="K151" s="7"/>
      <c r="P151" s="124">
        <v>8649.21</v>
      </c>
    </row>
    <row r="152" spans="1:16" ht="60">
      <c r="A152" s="10"/>
      <c r="B152" s="14" t="s">
        <v>186</v>
      </c>
      <c r="C152" s="89">
        <v>315</v>
      </c>
      <c r="D152" s="22" t="s">
        <v>82</v>
      </c>
      <c r="E152" s="24" t="s">
        <v>88</v>
      </c>
      <c r="F152" s="127">
        <v>1</v>
      </c>
      <c r="G152" s="124">
        <f t="shared" si="15"/>
        <v>531.47575</v>
      </c>
      <c r="H152" s="124">
        <f>F152*G152</f>
        <v>531.47575</v>
      </c>
      <c r="I152" s="151"/>
      <c r="J152" s="161"/>
      <c r="P152" s="124">
        <v>281.95</v>
      </c>
    </row>
    <row r="153" spans="1:16" s="1" customFormat="1" ht="36">
      <c r="A153" s="43"/>
      <c r="B153" s="14" t="s">
        <v>187</v>
      </c>
      <c r="C153" s="89">
        <v>116</v>
      </c>
      <c r="D153" s="15" t="s">
        <v>24</v>
      </c>
      <c r="E153" s="24" t="s">
        <v>183</v>
      </c>
      <c r="F153" s="127">
        <f>F144+F151</f>
        <v>11</v>
      </c>
      <c r="G153" s="124">
        <f t="shared" si="15"/>
        <v>173.64620000000002</v>
      </c>
      <c r="H153" s="124">
        <f t="shared" si="18"/>
        <v>1910.1082000000001</v>
      </c>
      <c r="I153" s="151"/>
      <c r="J153" s="146"/>
      <c r="K153" s="2"/>
      <c r="P153" s="124">
        <v>92.12</v>
      </c>
    </row>
    <row r="154" spans="1:16" s="1" customFormat="1" ht="36">
      <c r="A154" s="43"/>
      <c r="B154" s="14" t="s">
        <v>188</v>
      </c>
      <c r="C154" s="89">
        <v>116</v>
      </c>
      <c r="D154" s="15" t="s">
        <v>25</v>
      </c>
      <c r="E154" s="24" t="s">
        <v>183</v>
      </c>
      <c r="F154" s="127">
        <v>11</v>
      </c>
      <c r="G154" s="124">
        <f t="shared" si="15"/>
        <v>223.0332</v>
      </c>
      <c r="H154" s="124">
        <f t="shared" si="18"/>
        <v>2453.3651999999997</v>
      </c>
      <c r="I154" s="151"/>
      <c r="J154" s="146"/>
      <c r="K154" s="2"/>
      <c r="P154" s="124">
        <v>118.32</v>
      </c>
    </row>
    <row r="155" spans="1:16" s="1" customFormat="1" ht="55.5" customHeight="1">
      <c r="A155" s="43"/>
      <c r="B155" s="14" t="s">
        <v>189</v>
      </c>
      <c r="C155" s="89">
        <v>116</v>
      </c>
      <c r="D155" s="15" t="s">
        <v>26</v>
      </c>
      <c r="E155" s="24" t="s">
        <v>183</v>
      </c>
      <c r="F155" s="127">
        <v>11</v>
      </c>
      <c r="G155" s="124">
        <f t="shared" si="15"/>
        <v>155.83295</v>
      </c>
      <c r="H155" s="124">
        <f t="shared" si="18"/>
        <v>1714.16245</v>
      </c>
      <c r="I155" s="151"/>
      <c r="J155" s="146"/>
      <c r="K155" s="2"/>
      <c r="P155" s="124">
        <v>82.67</v>
      </c>
    </row>
    <row r="156" spans="1:16" ht="12">
      <c r="A156" s="43"/>
      <c r="B156" s="14" t="s">
        <v>190</v>
      </c>
      <c r="C156" s="89">
        <v>116</v>
      </c>
      <c r="D156" s="15" t="s">
        <v>75</v>
      </c>
      <c r="E156" s="24" t="s">
        <v>183</v>
      </c>
      <c r="F156" s="127">
        <v>15</v>
      </c>
      <c r="G156" s="124">
        <f t="shared" si="15"/>
        <v>42.3748</v>
      </c>
      <c r="H156" s="124">
        <f t="shared" si="18"/>
        <v>635.622</v>
      </c>
      <c r="I156" s="151"/>
      <c r="J156" s="153"/>
      <c r="K156" s="7"/>
      <c r="P156" s="124">
        <v>22.48</v>
      </c>
    </row>
    <row r="157" spans="1:16" ht="12" customHeight="1">
      <c r="A157" s="43"/>
      <c r="B157" s="46" t="s">
        <v>76</v>
      </c>
      <c r="C157" s="89"/>
      <c r="D157" s="47" t="s">
        <v>201</v>
      </c>
      <c r="E157" s="24"/>
      <c r="F157" s="127"/>
      <c r="G157" s="124"/>
      <c r="H157" s="124"/>
      <c r="I157" s="173"/>
      <c r="J157" s="174"/>
      <c r="K157" s="7"/>
      <c r="P157" s="124"/>
    </row>
    <row r="158" spans="1:16" ht="72">
      <c r="A158" s="43"/>
      <c r="B158" s="34" t="s">
        <v>156</v>
      </c>
      <c r="C158" s="89">
        <v>271</v>
      </c>
      <c r="D158" s="27" t="s">
        <v>77</v>
      </c>
      <c r="E158" s="35" t="s">
        <v>163</v>
      </c>
      <c r="F158" s="175">
        <v>25</v>
      </c>
      <c r="G158" s="124">
        <f t="shared" si="15"/>
        <v>79.45275</v>
      </c>
      <c r="H158" s="140">
        <f>F158*G158</f>
        <v>1986.31875</v>
      </c>
      <c r="I158" s="151"/>
      <c r="J158" s="161"/>
      <c r="P158" s="140">
        <v>42.15</v>
      </c>
    </row>
    <row r="159" spans="1:16" ht="12">
      <c r="A159" s="10"/>
      <c r="B159" s="50" t="s">
        <v>123</v>
      </c>
      <c r="C159" s="89"/>
      <c r="D159" s="47" t="s">
        <v>124</v>
      </c>
      <c r="E159" s="24"/>
      <c r="F159" s="127"/>
      <c r="G159" s="124">
        <f t="shared" si="15"/>
        <v>0</v>
      </c>
      <c r="H159" s="168"/>
      <c r="I159" s="125"/>
      <c r="J159" s="126"/>
      <c r="P159" s="168"/>
    </row>
    <row r="160" spans="1:16" s="1" customFormat="1" ht="84">
      <c r="A160" s="10"/>
      <c r="B160" s="19" t="s">
        <v>156</v>
      </c>
      <c r="C160" s="89">
        <v>264</v>
      </c>
      <c r="D160" s="20" t="s">
        <v>63</v>
      </c>
      <c r="E160" s="29" t="s">
        <v>158</v>
      </c>
      <c r="F160" s="147">
        <v>1</v>
      </c>
      <c r="G160" s="124">
        <f t="shared" si="15"/>
        <v>13548.5506</v>
      </c>
      <c r="H160" s="138">
        <f>F160*G160</f>
        <v>13548.5506</v>
      </c>
      <c r="I160" s="125"/>
      <c r="J160" s="176"/>
      <c r="K160" s="2"/>
      <c r="N160" s="51"/>
      <c r="P160" s="138">
        <v>7187.56</v>
      </c>
    </row>
    <row r="161" spans="1:16" s="1" customFormat="1" ht="120.75" customHeight="1" thickBot="1">
      <c r="A161" s="43"/>
      <c r="B161" s="52" t="s">
        <v>159</v>
      </c>
      <c r="C161" s="69">
        <v>262</v>
      </c>
      <c r="D161" s="40" t="s">
        <v>0</v>
      </c>
      <c r="E161" s="87" t="s">
        <v>183</v>
      </c>
      <c r="F161" s="143">
        <v>2</v>
      </c>
      <c r="G161" s="124">
        <f t="shared" si="15"/>
        <v>8086.367250000001</v>
      </c>
      <c r="H161" s="141">
        <f>F161*G161</f>
        <v>16172.734500000002</v>
      </c>
      <c r="I161" s="151"/>
      <c r="J161" s="163"/>
      <c r="K161" s="2"/>
      <c r="P161" s="141">
        <v>4289.85</v>
      </c>
    </row>
    <row r="162" spans="1:16" ht="12.75" thickBot="1">
      <c r="A162" s="111">
        <v>17</v>
      </c>
      <c r="B162" s="105"/>
      <c r="C162" s="107"/>
      <c r="D162" s="112" t="s">
        <v>202</v>
      </c>
      <c r="E162" s="113"/>
      <c r="F162" s="177"/>
      <c r="G162" s="178"/>
      <c r="H162" s="178"/>
      <c r="I162" s="134">
        <f>SUM(H163:H167)</f>
        <v>29781.887849999996</v>
      </c>
      <c r="J162" s="121">
        <f>I162*100/$I$226</f>
        <v>0.2976915118700599</v>
      </c>
      <c r="P162" s="178"/>
    </row>
    <row r="163" spans="1:16" ht="48">
      <c r="A163" s="43"/>
      <c r="B163" s="11" t="s">
        <v>156</v>
      </c>
      <c r="C163" s="69">
        <v>330</v>
      </c>
      <c r="D163" s="12" t="s">
        <v>28</v>
      </c>
      <c r="E163" s="26" t="s">
        <v>183</v>
      </c>
      <c r="F163" s="122">
        <v>9</v>
      </c>
      <c r="G163" s="124">
        <f>P163*$M$1</f>
        <v>731.9078</v>
      </c>
      <c r="H163" s="124">
        <f>F163*G163</f>
        <v>6587.1702</v>
      </c>
      <c r="I163" s="125"/>
      <c r="J163" s="166"/>
      <c r="P163" s="123">
        <v>388.28</v>
      </c>
    </row>
    <row r="164" spans="1:16" ht="24">
      <c r="A164" s="43"/>
      <c r="B164" s="14" t="s">
        <v>159</v>
      </c>
      <c r="C164" s="89">
        <v>330</v>
      </c>
      <c r="D164" s="15" t="s">
        <v>27</v>
      </c>
      <c r="E164" s="24" t="s">
        <v>183</v>
      </c>
      <c r="F164" s="127">
        <v>1</v>
      </c>
      <c r="G164" s="124">
        <f>P164*$M$1</f>
        <v>525.2364</v>
      </c>
      <c r="H164" s="124">
        <f>F164*G164</f>
        <v>525.2364</v>
      </c>
      <c r="I164" s="125"/>
      <c r="J164" s="166"/>
      <c r="P164" s="124">
        <v>278.64</v>
      </c>
    </row>
    <row r="165" spans="1:16" ht="72">
      <c r="A165" s="43"/>
      <c r="B165" s="14" t="s">
        <v>161</v>
      </c>
      <c r="C165" s="89">
        <v>331</v>
      </c>
      <c r="D165" s="15" t="s">
        <v>29</v>
      </c>
      <c r="E165" s="24" t="s">
        <v>183</v>
      </c>
      <c r="F165" s="127">
        <v>5</v>
      </c>
      <c r="G165" s="124">
        <f>P165*$M$1</f>
        <v>871.7370999999999</v>
      </c>
      <c r="H165" s="124">
        <f>F165*G165</f>
        <v>4358.6855</v>
      </c>
      <c r="I165" s="125"/>
      <c r="J165" s="166"/>
      <c r="P165" s="124">
        <v>462.46</v>
      </c>
    </row>
    <row r="166" spans="1:16" ht="36">
      <c r="A166" s="43"/>
      <c r="B166" s="14" t="s">
        <v>164</v>
      </c>
      <c r="C166" s="89">
        <v>331</v>
      </c>
      <c r="D166" s="15" t="s">
        <v>98</v>
      </c>
      <c r="E166" s="24" t="s">
        <v>163</v>
      </c>
      <c r="F166" s="127">
        <v>89</v>
      </c>
      <c r="G166" s="124">
        <f>P166*$M$1</f>
        <v>168.896</v>
      </c>
      <c r="H166" s="124">
        <f>F166*G166</f>
        <v>15031.743999999999</v>
      </c>
      <c r="I166" s="125"/>
      <c r="J166" s="166"/>
      <c r="P166" s="124">
        <v>89.6</v>
      </c>
    </row>
    <row r="167" spans="1:16" ht="36.75" thickBot="1">
      <c r="A167" s="10"/>
      <c r="B167" s="14" t="s">
        <v>166</v>
      </c>
      <c r="C167" s="84">
        <v>31</v>
      </c>
      <c r="D167" s="15" t="s">
        <v>136</v>
      </c>
      <c r="E167" s="24" t="s">
        <v>163</v>
      </c>
      <c r="F167" s="127">
        <v>15</v>
      </c>
      <c r="G167" s="124">
        <f>P167*$M$1</f>
        <v>218.60345</v>
      </c>
      <c r="H167" s="124">
        <f>F167*G167</f>
        <v>3279.05175</v>
      </c>
      <c r="I167" s="125"/>
      <c r="J167" s="166"/>
      <c r="P167" s="142">
        <v>115.97</v>
      </c>
    </row>
    <row r="168" spans="1:16" ht="12.75" thickBot="1">
      <c r="A168" s="100">
        <v>18</v>
      </c>
      <c r="B168" s="105"/>
      <c r="C168" s="106"/>
      <c r="D168" s="103" t="s">
        <v>121</v>
      </c>
      <c r="E168" s="108"/>
      <c r="F168" s="128"/>
      <c r="G168" s="129"/>
      <c r="H168" s="129"/>
      <c r="I168" s="120">
        <f>SUM(H170:H183)</f>
        <v>189879.34875</v>
      </c>
      <c r="J168" s="121">
        <f>I168*100/$I$226</f>
        <v>1.897981440497899</v>
      </c>
      <c r="P168" s="129"/>
    </row>
    <row r="169" spans="1:16" s="1" customFormat="1" ht="12.75">
      <c r="A169" s="10"/>
      <c r="B169" s="44" t="s">
        <v>73</v>
      </c>
      <c r="C169" s="84"/>
      <c r="D169" s="45" t="s">
        <v>125</v>
      </c>
      <c r="E169" s="26"/>
      <c r="F169" s="122"/>
      <c r="G169" s="179"/>
      <c r="H169" s="180"/>
      <c r="I169" s="136"/>
      <c r="J169" s="176"/>
      <c r="K169" s="2"/>
      <c r="P169" s="179"/>
    </row>
    <row r="170" spans="1:16" ht="84">
      <c r="A170" s="10"/>
      <c r="B170" s="19" t="s">
        <v>156</v>
      </c>
      <c r="C170" s="89">
        <v>280</v>
      </c>
      <c r="D170" s="20" t="s">
        <v>259</v>
      </c>
      <c r="E170" s="29" t="s">
        <v>260</v>
      </c>
      <c r="F170" s="147">
        <v>7</v>
      </c>
      <c r="G170" s="124">
        <f aca="true" t="shared" si="19" ref="G170:G183">P170*$M$1</f>
        <v>2544.75</v>
      </c>
      <c r="H170" s="124">
        <f aca="true" t="shared" si="20" ref="H170:H175">F170*G170</f>
        <v>17813.25</v>
      </c>
      <c r="I170" s="125"/>
      <c r="J170" s="166"/>
      <c r="P170" s="181">
        <v>1350</v>
      </c>
    </row>
    <row r="171" spans="1:16" ht="36">
      <c r="A171" s="10"/>
      <c r="B171" s="14" t="s">
        <v>159</v>
      </c>
      <c r="C171" s="89">
        <v>280</v>
      </c>
      <c r="D171" s="15" t="s">
        <v>100</v>
      </c>
      <c r="E171" s="24" t="s">
        <v>183</v>
      </c>
      <c r="F171" s="127">
        <v>7</v>
      </c>
      <c r="G171" s="124">
        <f t="shared" si="19"/>
        <v>829.19265</v>
      </c>
      <c r="H171" s="124">
        <f t="shared" si="20"/>
        <v>5804.34855</v>
      </c>
      <c r="I171" s="125"/>
      <c r="J171" s="166"/>
      <c r="P171" s="124">
        <v>439.89</v>
      </c>
    </row>
    <row r="172" spans="1:16" ht="24">
      <c r="A172" s="10"/>
      <c r="B172" s="14" t="s">
        <v>161</v>
      </c>
      <c r="C172" s="89">
        <v>280</v>
      </c>
      <c r="D172" s="15" t="s">
        <v>268</v>
      </c>
      <c r="E172" s="24" t="s">
        <v>183</v>
      </c>
      <c r="F172" s="127">
        <v>1</v>
      </c>
      <c r="G172" s="124">
        <f t="shared" si="19"/>
        <v>425.46335</v>
      </c>
      <c r="H172" s="124">
        <f t="shared" si="20"/>
        <v>425.46335</v>
      </c>
      <c r="I172" s="125"/>
      <c r="J172" s="166"/>
      <c r="P172" s="124">
        <v>225.71</v>
      </c>
    </row>
    <row r="173" spans="1:16" ht="96">
      <c r="A173" s="10"/>
      <c r="B173" s="34" t="s">
        <v>164</v>
      </c>
      <c r="C173" s="89">
        <v>280</v>
      </c>
      <c r="D173" s="39" t="s">
        <v>237</v>
      </c>
      <c r="E173" s="35" t="s">
        <v>183</v>
      </c>
      <c r="F173" s="154">
        <v>1</v>
      </c>
      <c r="G173" s="124">
        <f t="shared" si="19"/>
        <v>3608.17275</v>
      </c>
      <c r="H173" s="124">
        <f t="shared" si="20"/>
        <v>3608.17275</v>
      </c>
      <c r="I173" s="125"/>
      <c r="J173" s="166"/>
      <c r="P173" s="140">
        <v>1914.15</v>
      </c>
    </row>
    <row r="174" spans="1:16" ht="60">
      <c r="A174" s="10"/>
      <c r="B174" s="14" t="s">
        <v>166</v>
      </c>
      <c r="C174" s="89">
        <v>280</v>
      </c>
      <c r="D174" s="15" t="s">
        <v>262</v>
      </c>
      <c r="E174" s="24" t="s">
        <v>183</v>
      </c>
      <c r="F174" s="127">
        <v>1</v>
      </c>
      <c r="G174" s="124">
        <f t="shared" si="19"/>
        <v>7587.125</v>
      </c>
      <c r="H174" s="124">
        <f t="shared" si="20"/>
        <v>7587.125</v>
      </c>
      <c r="I174" s="125"/>
      <c r="J174" s="166"/>
      <c r="P174" s="124">
        <v>4025</v>
      </c>
    </row>
    <row r="175" spans="1:16" ht="60">
      <c r="A175" s="10"/>
      <c r="B175" s="14" t="s">
        <v>168</v>
      </c>
      <c r="C175" s="89">
        <v>289</v>
      </c>
      <c r="D175" s="15" t="s">
        <v>267</v>
      </c>
      <c r="E175" s="24" t="s">
        <v>183</v>
      </c>
      <c r="F175" s="127">
        <v>1</v>
      </c>
      <c r="G175" s="124">
        <f t="shared" si="19"/>
        <v>14482.02145</v>
      </c>
      <c r="H175" s="124">
        <f t="shared" si="20"/>
        <v>14482.02145</v>
      </c>
      <c r="I175" s="125"/>
      <c r="J175" s="166"/>
      <c r="P175" s="124">
        <v>7682.77</v>
      </c>
    </row>
    <row r="176" spans="1:16" ht="12">
      <c r="A176" s="10"/>
      <c r="B176" s="14" t="s">
        <v>184</v>
      </c>
      <c r="C176" s="89">
        <v>385</v>
      </c>
      <c r="D176" s="15" t="s">
        <v>83</v>
      </c>
      <c r="E176" s="24" t="s">
        <v>183</v>
      </c>
      <c r="F176" s="127">
        <v>4</v>
      </c>
      <c r="G176" s="124">
        <f t="shared" si="19"/>
        <v>318.88545</v>
      </c>
      <c r="H176" s="124">
        <f aca="true" t="shared" si="21" ref="H176:H183">F176*G176</f>
        <v>1275.5418</v>
      </c>
      <c r="I176" s="125"/>
      <c r="J176" s="166"/>
      <c r="P176" s="124">
        <v>169.17</v>
      </c>
    </row>
    <row r="177" spans="1:16" s="1" customFormat="1" ht="108">
      <c r="A177" s="10"/>
      <c r="B177" s="14" t="s">
        <v>185</v>
      </c>
      <c r="C177" s="89">
        <v>294</v>
      </c>
      <c r="D177" s="15" t="s">
        <v>70</v>
      </c>
      <c r="E177" s="24" t="s">
        <v>183</v>
      </c>
      <c r="F177" s="127">
        <v>1</v>
      </c>
      <c r="G177" s="124">
        <f t="shared" si="19"/>
        <v>6503.25</v>
      </c>
      <c r="H177" s="124">
        <f>F177*G177</f>
        <v>6503.25</v>
      </c>
      <c r="I177" s="125"/>
      <c r="J177" s="182"/>
      <c r="P177" s="124">
        <v>3450</v>
      </c>
    </row>
    <row r="178" spans="1:16" s="1" customFormat="1" ht="12.75">
      <c r="A178" s="10"/>
      <c r="B178" s="46" t="s">
        <v>74</v>
      </c>
      <c r="C178" s="89"/>
      <c r="D178" s="47" t="s">
        <v>269</v>
      </c>
      <c r="E178" s="24"/>
      <c r="F178" s="127"/>
      <c r="G178" s="124"/>
      <c r="H178" s="168"/>
      <c r="I178" s="125"/>
      <c r="J178" s="182"/>
      <c r="P178" s="168"/>
    </row>
    <row r="179" spans="1:16" ht="36">
      <c r="A179" s="10"/>
      <c r="B179" s="14" t="s">
        <v>156</v>
      </c>
      <c r="C179" s="89">
        <v>295</v>
      </c>
      <c r="D179" s="22" t="s">
        <v>69</v>
      </c>
      <c r="E179" s="24" t="s">
        <v>183</v>
      </c>
      <c r="F179" s="127">
        <v>2</v>
      </c>
      <c r="G179" s="124">
        <f t="shared" si="19"/>
        <v>24081.2143</v>
      </c>
      <c r="H179" s="124">
        <f t="shared" si="21"/>
        <v>48162.4286</v>
      </c>
      <c r="I179" s="125"/>
      <c r="J179" s="166"/>
      <c r="P179" s="124">
        <v>12775.18</v>
      </c>
    </row>
    <row r="180" spans="1:16" ht="48">
      <c r="A180" s="10"/>
      <c r="B180" s="14" t="s">
        <v>159</v>
      </c>
      <c r="C180" s="89">
        <v>295</v>
      </c>
      <c r="D180" s="15" t="s">
        <v>235</v>
      </c>
      <c r="E180" s="24" t="s">
        <v>183</v>
      </c>
      <c r="F180" s="127">
        <v>1</v>
      </c>
      <c r="G180" s="124">
        <f t="shared" si="19"/>
        <v>21906.58405</v>
      </c>
      <c r="H180" s="124">
        <f t="shared" si="21"/>
        <v>21906.58405</v>
      </c>
      <c r="I180" s="125"/>
      <c r="J180" s="166"/>
      <c r="P180" s="124">
        <v>11621.53</v>
      </c>
    </row>
    <row r="181" spans="1:16" ht="36">
      <c r="A181" s="10"/>
      <c r="B181" s="14" t="s">
        <v>161</v>
      </c>
      <c r="C181" s="89">
        <v>295</v>
      </c>
      <c r="D181" s="15" t="s">
        <v>11</v>
      </c>
      <c r="E181" s="24" t="s">
        <v>183</v>
      </c>
      <c r="F181" s="127">
        <v>5</v>
      </c>
      <c r="G181" s="124">
        <f t="shared" si="19"/>
        <v>10838.75</v>
      </c>
      <c r="H181" s="124">
        <f t="shared" si="21"/>
        <v>54193.75</v>
      </c>
      <c r="I181" s="125"/>
      <c r="J181" s="166"/>
      <c r="P181" s="160">
        <v>5750</v>
      </c>
    </row>
    <row r="182" spans="1:16" ht="24">
      <c r="A182" s="10"/>
      <c r="B182" s="14" t="s">
        <v>164</v>
      </c>
      <c r="C182" s="89">
        <v>385</v>
      </c>
      <c r="D182" s="15" t="s">
        <v>272</v>
      </c>
      <c r="E182" s="24" t="s">
        <v>183</v>
      </c>
      <c r="F182" s="127">
        <v>4</v>
      </c>
      <c r="G182" s="124">
        <f t="shared" si="19"/>
        <v>208.4433</v>
      </c>
      <c r="H182" s="124">
        <f t="shared" si="21"/>
        <v>833.7732</v>
      </c>
      <c r="I182" s="125"/>
      <c r="J182" s="166"/>
      <c r="P182" s="124">
        <v>110.58</v>
      </c>
    </row>
    <row r="183" spans="1:16" ht="36.75" thickBot="1">
      <c r="A183" s="10"/>
      <c r="B183" s="34" t="s">
        <v>166</v>
      </c>
      <c r="C183" s="90">
        <v>390</v>
      </c>
      <c r="D183" s="15" t="s">
        <v>10</v>
      </c>
      <c r="E183" s="24" t="s">
        <v>183</v>
      </c>
      <c r="F183" s="127">
        <v>4</v>
      </c>
      <c r="G183" s="124">
        <f t="shared" si="19"/>
        <v>1820.91</v>
      </c>
      <c r="H183" s="124">
        <f t="shared" si="21"/>
        <v>7283.64</v>
      </c>
      <c r="I183" s="125"/>
      <c r="J183" s="166"/>
      <c r="P183" s="183">
        <v>966</v>
      </c>
    </row>
    <row r="184" spans="1:16" ht="12.75" thickBot="1">
      <c r="A184" s="100">
        <v>19</v>
      </c>
      <c r="B184" s="105"/>
      <c r="C184" s="114"/>
      <c r="D184" s="103" t="s">
        <v>203</v>
      </c>
      <c r="E184" s="108"/>
      <c r="F184" s="128"/>
      <c r="G184" s="129"/>
      <c r="H184" s="129"/>
      <c r="I184" s="120">
        <f>SUM(H185:H189)</f>
        <v>173531.2527</v>
      </c>
      <c r="J184" s="121">
        <f>I184*100/$I$226</f>
        <v>1.7345703950385543</v>
      </c>
      <c r="P184" s="129"/>
    </row>
    <row r="185" spans="1:16" ht="60">
      <c r="A185" s="10"/>
      <c r="B185" s="52" t="s">
        <v>156</v>
      </c>
      <c r="C185" s="91">
        <v>780</v>
      </c>
      <c r="D185" s="12" t="s">
        <v>19</v>
      </c>
      <c r="E185" s="26" t="s">
        <v>183</v>
      </c>
      <c r="F185" s="122">
        <v>4</v>
      </c>
      <c r="G185" s="124">
        <f>P185*$M$1</f>
        <v>4087.2832000000003</v>
      </c>
      <c r="H185" s="124">
        <f>F185*G185</f>
        <v>16349.132800000001</v>
      </c>
      <c r="I185" s="125"/>
      <c r="J185" s="166"/>
      <c r="P185" s="123">
        <v>2168.32</v>
      </c>
    </row>
    <row r="186" spans="1:16" ht="72">
      <c r="A186" s="10"/>
      <c r="B186" s="14" t="s">
        <v>159</v>
      </c>
      <c r="C186" s="89">
        <v>296</v>
      </c>
      <c r="D186" s="15" t="s">
        <v>71</v>
      </c>
      <c r="E186" s="24" t="s">
        <v>163</v>
      </c>
      <c r="F186" s="127">
        <f>176+34</f>
        <v>210</v>
      </c>
      <c r="G186" s="124">
        <f>P186*$M$1</f>
        <v>258.79165</v>
      </c>
      <c r="H186" s="124">
        <f>F186*G186</f>
        <v>54346.2465</v>
      </c>
      <c r="I186" s="125"/>
      <c r="J186" s="166"/>
      <c r="P186" s="124">
        <v>137.29</v>
      </c>
    </row>
    <row r="187" spans="1:16" ht="24">
      <c r="A187" s="10"/>
      <c r="B187" s="14" t="s">
        <v>161</v>
      </c>
      <c r="C187" s="89">
        <v>296</v>
      </c>
      <c r="D187" s="15" t="s">
        <v>20</v>
      </c>
      <c r="E187" s="24" t="s">
        <v>183</v>
      </c>
      <c r="F187" s="127">
        <v>188</v>
      </c>
      <c r="G187" s="124">
        <f>P187*$M$1</f>
        <v>493.43645</v>
      </c>
      <c r="H187" s="124">
        <f>F187*G187</f>
        <v>92766.0526</v>
      </c>
      <c r="I187" s="125"/>
      <c r="J187" s="166"/>
      <c r="P187" s="124">
        <v>261.77</v>
      </c>
    </row>
    <row r="188" spans="1:16" ht="36">
      <c r="A188" s="10"/>
      <c r="B188" s="14" t="s">
        <v>164</v>
      </c>
      <c r="C188" s="89">
        <v>296</v>
      </c>
      <c r="D188" s="15" t="s">
        <v>21</v>
      </c>
      <c r="E188" s="24" t="s">
        <v>183</v>
      </c>
      <c r="F188" s="127">
        <v>17</v>
      </c>
      <c r="G188" s="124">
        <f>P188*$M$1</f>
        <v>382.5796</v>
      </c>
      <c r="H188" s="124">
        <f>F188*G188</f>
        <v>6503.8532000000005</v>
      </c>
      <c r="I188" s="125"/>
      <c r="J188" s="166"/>
      <c r="P188" s="124">
        <v>202.96</v>
      </c>
    </row>
    <row r="189" spans="1:16" ht="60.75" thickBot="1">
      <c r="A189" s="10"/>
      <c r="B189" s="14" t="s">
        <v>166</v>
      </c>
      <c r="C189" s="84">
        <v>296</v>
      </c>
      <c r="D189" s="15" t="s">
        <v>22</v>
      </c>
      <c r="E189" s="24" t="s">
        <v>163</v>
      </c>
      <c r="F189" s="127">
        <f>17*8</f>
        <v>136</v>
      </c>
      <c r="G189" s="124">
        <f>P189*$M$1</f>
        <v>26.22035</v>
      </c>
      <c r="H189" s="124">
        <f>F189*G189</f>
        <v>3565.9676</v>
      </c>
      <c r="I189" s="125"/>
      <c r="J189" s="166"/>
      <c r="P189" s="124">
        <v>13.91</v>
      </c>
    </row>
    <row r="190" spans="1:16" ht="12.75" thickBot="1">
      <c r="A190" s="100">
        <v>20</v>
      </c>
      <c r="B190" s="105"/>
      <c r="C190" s="106"/>
      <c r="D190" s="103" t="s">
        <v>204</v>
      </c>
      <c r="E190" s="108"/>
      <c r="F190" s="128"/>
      <c r="G190" s="129"/>
      <c r="H190" s="129"/>
      <c r="I190" s="120">
        <f>SUM(H192:H222)</f>
        <v>247539.19905</v>
      </c>
      <c r="J190" s="121">
        <f>I190*100/$I$226</f>
        <v>2.4743333526554196</v>
      </c>
      <c r="P190" s="129"/>
    </row>
    <row r="191" spans="1:16" ht="12">
      <c r="A191" s="10"/>
      <c r="B191" s="44" t="s">
        <v>73</v>
      </c>
      <c r="C191" s="84"/>
      <c r="D191" s="45" t="s">
        <v>239</v>
      </c>
      <c r="E191" s="26"/>
      <c r="F191" s="122"/>
      <c r="G191" s="179"/>
      <c r="H191" s="179"/>
      <c r="I191" s="125"/>
      <c r="J191" s="166"/>
      <c r="P191" s="179"/>
    </row>
    <row r="192" spans="1:16" ht="48">
      <c r="A192" s="10"/>
      <c r="B192" s="14" t="s">
        <v>156</v>
      </c>
      <c r="C192" s="89">
        <v>287</v>
      </c>
      <c r="D192" s="15" t="s">
        <v>270</v>
      </c>
      <c r="E192" s="24" t="s">
        <v>183</v>
      </c>
      <c r="F192" s="127">
        <f>10+6+6</f>
        <v>22</v>
      </c>
      <c r="G192" s="124">
        <f aca="true" t="shared" si="22" ref="G192:G198">P192*$M$1</f>
        <v>49.29275</v>
      </c>
      <c r="H192" s="124">
        <f aca="true" t="shared" si="23" ref="H192:H198">F192*G192</f>
        <v>1084.4405</v>
      </c>
      <c r="I192" s="125"/>
      <c r="J192" s="166"/>
      <c r="P192" s="124">
        <v>26.15</v>
      </c>
    </row>
    <row r="193" spans="1:16" ht="48">
      <c r="A193" s="10"/>
      <c r="B193" s="14" t="s">
        <v>159</v>
      </c>
      <c r="C193" s="89">
        <v>287</v>
      </c>
      <c r="D193" s="15" t="s">
        <v>12</v>
      </c>
      <c r="E193" s="24" t="s">
        <v>183</v>
      </c>
      <c r="F193" s="127">
        <v>6</v>
      </c>
      <c r="G193" s="124">
        <f t="shared" si="22"/>
        <v>76.49329999999999</v>
      </c>
      <c r="H193" s="124">
        <f t="shared" si="23"/>
        <v>458.9598</v>
      </c>
      <c r="I193" s="125"/>
      <c r="J193" s="166"/>
      <c r="P193" s="124">
        <v>40.58</v>
      </c>
    </row>
    <row r="194" spans="1:16" ht="60">
      <c r="A194" s="10"/>
      <c r="B194" s="14" t="s">
        <v>161</v>
      </c>
      <c r="C194" s="89">
        <v>287</v>
      </c>
      <c r="D194" s="15" t="s">
        <v>72</v>
      </c>
      <c r="E194" s="24" t="s">
        <v>183</v>
      </c>
      <c r="F194" s="127">
        <f>13+7+8+14+13+11+12+3+16+1+21+13+1+7-6</f>
        <v>134</v>
      </c>
      <c r="G194" s="124">
        <f t="shared" si="22"/>
        <v>477.41395</v>
      </c>
      <c r="H194" s="124">
        <f t="shared" si="23"/>
        <v>63973.4693</v>
      </c>
      <c r="I194" s="125"/>
      <c r="J194" s="166"/>
      <c r="P194" s="124">
        <v>253.27</v>
      </c>
    </row>
    <row r="195" spans="1:16" ht="36">
      <c r="A195" s="10"/>
      <c r="B195" s="14" t="s">
        <v>164</v>
      </c>
      <c r="C195" s="89">
        <v>287</v>
      </c>
      <c r="D195" s="15" t="s">
        <v>137</v>
      </c>
      <c r="E195" s="24" t="s">
        <v>183</v>
      </c>
      <c r="F195" s="127">
        <v>7</v>
      </c>
      <c r="G195" s="124">
        <f t="shared" si="22"/>
        <v>113.5147</v>
      </c>
      <c r="H195" s="124">
        <f t="shared" si="23"/>
        <v>794.6029000000001</v>
      </c>
      <c r="I195" s="125"/>
      <c r="J195" s="166"/>
      <c r="P195" s="160">
        <v>60.22</v>
      </c>
    </row>
    <row r="196" spans="1:16" ht="36">
      <c r="A196" s="10"/>
      <c r="B196" s="14" t="s">
        <v>166</v>
      </c>
      <c r="C196" s="89">
        <v>293</v>
      </c>
      <c r="D196" s="15" t="s">
        <v>205</v>
      </c>
      <c r="E196" s="24" t="s">
        <v>183</v>
      </c>
      <c r="F196" s="127">
        <v>1</v>
      </c>
      <c r="G196" s="124">
        <f t="shared" si="22"/>
        <v>109.2546</v>
      </c>
      <c r="H196" s="124">
        <f t="shared" si="23"/>
        <v>109.2546</v>
      </c>
      <c r="I196" s="125"/>
      <c r="J196" s="166"/>
      <c r="P196" s="124">
        <v>57.96</v>
      </c>
    </row>
    <row r="197" spans="1:16" ht="60">
      <c r="A197" s="10"/>
      <c r="B197" s="14" t="s">
        <v>168</v>
      </c>
      <c r="C197" s="89">
        <v>287</v>
      </c>
      <c r="D197" s="15" t="s">
        <v>238</v>
      </c>
      <c r="E197" s="24" t="s">
        <v>183</v>
      </c>
      <c r="F197" s="127">
        <v>1</v>
      </c>
      <c r="G197" s="124">
        <f t="shared" si="22"/>
        <v>3572.7347499999996</v>
      </c>
      <c r="H197" s="124">
        <f t="shared" si="23"/>
        <v>3572.7347499999996</v>
      </c>
      <c r="I197" s="125"/>
      <c r="J197" s="166"/>
      <c r="P197" s="124">
        <v>1895.35</v>
      </c>
    </row>
    <row r="198" spans="1:16" ht="72">
      <c r="A198" s="10"/>
      <c r="B198" s="14" t="s">
        <v>184</v>
      </c>
      <c r="C198" s="89">
        <v>287</v>
      </c>
      <c r="D198" s="15" t="s">
        <v>109</v>
      </c>
      <c r="E198" s="24" t="s">
        <v>183</v>
      </c>
      <c r="F198" s="127">
        <v>3</v>
      </c>
      <c r="G198" s="124">
        <f t="shared" si="22"/>
        <v>3794.03375</v>
      </c>
      <c r="H198" s="124">
        <f t="shared" si="23"/>
        <v>11382.10125</v>
      </c>
      <c r="I198" s="125"/>
      <c r="J198" s="166"/>
      <c r="P198" s="124">
        <v>2012.75</v>
      </c>
    </row>
    <row r="199" spans="1:16" ht="15.75" customHeight="1">
      <c r="A199" s="10"/>
      <c r="B199" s="46" t="s">
        <v>74</v>
      </c>
      <c r="C199" s="89"/>
      <c r="D199" s="47" t="s">
        <v>206</v>
      </c>
      <c r="E199" s="24"/>
      <c r="F199" s="127"/>
      <c r="G199" s="124"/>
      <c r="H199" s="124"/>
      <c r="I199" s="125"/>
      <c r="J199" s="166"/>
      <c r="L199" s="7"/>
      <c r="P199" s="124"/>
    </row>
    <row r="200" spans="1:16" ht="15.75" customHeight="1">
      <c r="A200" s="10"/>
      <c r="B200" s="14" t="s">
        <v>156</v>
      </c>
      <c r="C200" s="89">
        <v>320</v>
      </c>
      <c r="D200" s="15" t="s">
        <v>138</v>
      </c>
      <c r="E200" s="24" t="s">
        <v>183</v>
      </c>
      <c r="F200" s="127">
        <v>4</v>
      </c>
      <c r="G200" s="124">
        <f aca="true" t="shared" si="24" ref="G200:G212">P200*$M$1</f>
        <v>494.8125</v>
      </c>
      <c r="H200" s="124">
        <f aca="true" t="shared" si="25" ref="H200:H211">F200*G200</f>
        <v>1979.25</v>
      </c>
      <c r="I200" s="125"/>
      <c r="J200" s="166"/>
      <c r="L200" s="53"/>
      <c r="P200" s="124">
        <v>262.5</v>
      </c>
    </row>
    <row r="201" spans="1:16" ht="15.75" customHeight="1">
      <c r="A201" s="10"/>
      <c r="B201" s="14" t="s">
        <v>159</v>
      </c>
      <c r="C201" s="89">
        <v>320</v>
      </c>
      <c r="D201" s="15" t="s">
        <v>139</v>
      </c>
      <c r="E201" s="24" t="s">
        <v>183</v>
      </c>
      <c r="F201" s="127">
        <v>9</v>
      </c>
      <c r="G201" s="124">
        <f t="shared" si="24"/>
        <v>554.19</v>
      </c>
      <c r="H201" s="124">
        <f t="shared" si="25"/>
        <v>4987.710000000001</v>
      </c>
      <c r="I201" s="125"/>
      <c r="J201" s="166"/>
      <c r="L201" s="53"/>
      <c r="P201" s="124">
        <v>294</v>
      </c>
    </row>
    <row r="202" spans="1:16" ht="15.75" customHeight="1">
      <c r="A202" s="10"/>
      <c r="B202" s="14" t="s">
        <v>161</v>
      </c>
      <c r="C202" s="89">
        <v>320</v>
      </c>
      <c r="D202" s="15" t="s">
        <v>140</v>
      </c>
      <c r="E202" s="24" t="s">
        <v>183</v>
      </c>
      <c r="F202" s="127">
        <v>4</v>
      </c>
      <c r="G202" s="124">
        <f t="shared" si="24"/>
        <v>554.19</v>
      </c>
      <c r="H202" s="124">
        <f t="shared" si="25"/>
        <v>2216.76</v>
      </c>
      <c r="I202" s="125"/>
      <c r="J202" s="166"/>
      <c r="L202" s="53"/>
      <c r="P202" s="124">
        <v>294</v>
      </c>
    </row>
    <row r="203" spans="1:16" ht="15.75" customHeight="1">
      <c r="A203" s="10"/>
      <c r="B203" s="14" t="s">
        <v>164</v>
      </c>
      <c r="C203" s="89">
        <v>320</v>
      </c>
      <c r="D203" s="15" t="s">
        <v>141</v>
      </c>
      <c r="E203" s="24" t="s">
        <v>183</v>
      </c>
      <c r="F203" s="127">
        <v>38</v>
      </c>
      <c r="G203" s="124">
        <f t="shared" si="24"/>
        <v>655.5653</v>
      </c>
      <c r="H203" s="124">
        <f t="shared" si="25"/>
        <v>24911.4814</v>
      </c>
      <c r="I203" s="125"/>
      <c r="J203" s="166"/>
      <c r="L203" s="53"/>
      <c r="P203" s="124">
        <v>347.78</v>
      </c>
    </row>
    <row r="204" spans="1:16" ht="15.75" customHeight="1">
      <c r="A204" s="10"/>
      <c r="B204" s="14" t="s">
        <v>166</v>
      </c>
      <c r="C204" s="89">
        <v>320</v>
      </c>
      <c r="D204" s="15" t="s">
        <v>142</v>
      </c>
      <c r="E204" s="23" t="s">
        <v>183</v>
      </c>
      <c r="F204" s="127">
        <v>18</v>
      </c>
      <c r="G204" s="124">
        <f t="shared" si="24"/>
        <v>655.5653</v>
      </c>
      <c r="H204" s="124">
        <f t="shared" si="25"/>
        <v>11800.1754</v>
      </c>
      <c r="I204" s="125"/>
      <c r="J204" s="166"/>
      <c r="L204" s="53"/>
      <c r="P204" s="124">
        <v>347.78</v>
      </c>
    </row>
    <row r="205" spans="1:16" ht="15.75" customHeight="1">
      <c r="A205" s="10"/>
      <c r="B205" s="14" t="s">
        <v>168</v>
      </c>
      <c r="C205" s="89">
        <v>320</v>
      </c>
      <c r="D205" s="15" t="s">
        <v>143</v>
      </c>
      <c r="E205" s="23" t="s">
        <v>183</v>
      </c>
      <c r="F205" s="127">
        <v>6</v>
      </c>
      <c r="G205" s="124">
        <f t="shared" si="24"/>
        <v>604.46295</v>
      </c>
      <c r="H205" s="124">
        <f t="shared" si="25"/>
        <v>3626.7776999999996</v>
      </c>
      <c r="I205" s="125"/>
      <c r="J205" s="166"/>
      <c r="L205" s="53"/>
      <c r="P205" s="124">
        <v>320.67</v>
      </c>
    </row>
    <row r="206" spans="1:16" ht="15.75" customHeight="1">
      <c r="A206" s="10"/>
      <c r="B206" s="14" t="s">
        <v>184</v>
      </c>
      <c r="C206" s="89">
        <v>320</v>
      </c>
      <c r="D206" s="15" t="s">
        <v>144</v>
      </c>
      <c r="E206" s="23" t="s">
        <v>183</v>
      </c>
      <c r="F206" s="127">
        <v>28</v>
      </c>
      <c r="G206" s="124">
        <f t="shared" si="24"/>
        <v>1960.6261999999997</v>
      </c>
      <c r="H206" s="124">
        <f t="shared" si="25"/>
        <v>54897.533599999995</v>
      </c>
      <c r="I206" s="125"/>
      <c r="J206" s="166"/>
      <c r="L206" s="53"/>
      <c r="P206" s="124">
        <v>1040.12</v>
      </c>
    </row>
    <row r="207" spans="1:16" ht="15.75" customHeight="1">
      <c r="A207" s="10"/>
      <c r="B207" s="14" t="s">
        <v>185</v>
      </c>
      <c r="C207" s="89">
        <v>320</v>
      </c>
      <c r="D207" s="15" t="s">
        <v>145</v>
      </c>
      <c r="E207" s="23" t="s">
        <v>183</v>
      </c>
      <c r="F207" s="127">
        <v>16</v>
      </c>
      <c r="G207" s="124">
        <f t="shared" si="24"/>
        <v>895.375</v>
      </c>
      <c r="H207" s="124">
        <f t="shared" si="25"/>
        <v>14326</v>
      </c>
      <c r="I207" s="125"/>
      <c r="J207" s="166"/>
      <c r="L207" s="53"/>
      <c r="P207" s="124">
        <v>475</v>
      </c>
    </row>
    <row r="208" spans="1:16" ht="15.75" customHeight="1">
      <c r="A208" s="10"/>
      <c r="B208" s="14" t="s">
        <v>186</v>
      </c>
      <c r="C208" s="89">
        <v>320</v>
      </c>
      <c r="D208" s="15" t="s">
        <v>146</v>
      </c>
      <c r="E208" s="23" t="s">
        <v>183</v>
      </c>
      <c r="F208" s="127">
        <v>11</v>
      </c>
      <c r="G208" s="124">
        <f t="shared" si="24"/>
        <v>1491.54395</v>
      </c>
      <c r="H208" s="124">
        <f>F208*G208</f>
        <v>16406.98345</v>
      </c>
      <c r="I208" s="125"/>
      <c r="J208" s="166"/>
      <c r="L208" s="53"/>
      <c r="P208" s="124">
        <v>791.27</v>
      </c>
    </row>
    <row r="209" spans="1:16" ht="15.75" customHeight="1">
      <c r="A209" s="10"/>
      <c r="B209" s="14" t="s">
        <v>187</v>
      </c>
      <c r="C209" s="89">
        <v>320</v>
      </c>
      <c r="D209" s="15" t="s">
        <v>31</v>
      </c>
      <c r="E209" s="23" t="s">
        <v>183</v>
      </c>
      <c r="F209" s="127">
        <v>7</v>
      </c>
      <c r="G209" s="124">
        <f t="shared" si="24"/>
        <v>890.6625</v>
      </c>
      <c r="H209" s="124">
        <f t="shared" si="25"/>
        <v>6234.6375</v>
      </c>
      <c r="I209" s="125"/>
      <c r="J209" s="166"/>
      <c r="L209" s="53"/>
      <c r="P209" s="124">
        <v>472.5</v>
      </c>
    </row>
    <row r="210" spans="1:16" ht="15.75" customHeight="1">
      <c r="A210" s="10"/>
      <c r="B210" s="14" t="s">
        <v>188</v>
      </c>
      <c r="C210" s="89">
        <v>320</v>
      </c>
      <c r="D210" s="15" t="s">
        <v>147</v>
      </c>
      <c r="E210" s="23" t="s">
        <v>183</v>
      </c>
      <c r="F210" s="127">
        <v>4</v>
      </c>
      <c r="G210" s="124">
        <f t="shared" si="24"/>
        <v>593.0210000000001</v>
      </c>
      <c r="H210" s="124">
        <f t="shared" si="25"/>
        <v>2372.0840000000003</v>
      </c>
      <c r="I210" s="125"/>
      <c r="J210" s="166"/>
      <c r="L210" s="53"/>
      <c r="P210" s="124">
        <v>314.6</v>
      </c>
    </row>
    <row r="211" spans="1:16" ht="15.75" customHeight="1">
      <c r="A211" s="10"/>
      <c r="B211" s="14" t="s">
        <v>189</v>
      </c>
      <c r="C211" s="89">
        <v>320</v>
      </c>
      <c r="D211" s="15" t="s">
        <v>148</v>
      </c>
      <c r="E211" s="23" t="s">
        <v>183</v>
      </c>
      <c r="F211" s="127">
        <v>2</v>
      </c>
      <c r="G211" s="124">
        <f t="shared" si="24"/>
        <v>593.0210000000001</v>
      </c>
      <c r="H211" s="124">
        <f t="shared" si="25"/>
        <v>1186.0420000000001</v>
      </c>
      <c r="I211" s="125"/>
      <c r="J211" s="166"/>
      <c r="L211" s="53"/>
      <c r="P211" s="124">
        <v>314.6</v>
      </c>
    </row>
    <row r="212" spans="1:16" s="1" customFormat="1" ht="48">
      <c r="A212" s="10"/>
      <c r="B212" s="14" t="s">
        <v>190</v>
      </c>
      <c r="C212" s="89" t="s">
        <v>264</v>
      </c>
      <c r="D212" s="22" t="s">
        <v>263</v>
      </c>
      <c r="E212" s="24" t="s">
        <v>183</v>
      </c>
      <c r="F212" s="127">
        <v>1</v>
      </c>
      <c r="G212" s="124">
        <f t="shared" si="24"/>
        <v>3045.50025</v>
      </c>
      <c r="H212" s="124">
        <f>F212*G212</f>
        <v>3045.50025</v>
      </c>
      <c r="I212" s="125"/>
      <c r="J212" s="176"/>
      <c r="P212" s="124">
        <v>1615.65</v>
      </c>
    </row>
    <row r="213" spans="1:16" ht="12">
      <c r="A213" s="10"/>
      <c r="B213" s="46" t="s">
        <v>107</v>
      </c>
      <c r="C213" s="89"/>
      <c r="D213" s="47" t="s">
        <v>207</v>
      </c>
      <c r="E213" s="24"/>
      <c r="F213" s="127"/>
      <c r="G213" s="124"/>
      <c r="H213" s="124"/>
      <c r="I213" s="125"/>
      <c r="J213" s="166"/>
      <c r="P213" s="124"/>
    </row>
    <row r="214" spans="1:16" ht="12">
      <c r="A214" s="10"/>
      <c r="B214" s="54" t="s">
        <v>156</v>
      </c>
      <c r="C214" s="89">
        <v>322</v>
      </c>
      <c r="D214" s="15" t="s">
        <v>208</v>
      </c>
      <c r="E214" s="23" t="s">
        <v>183</v>
      </c>
      <c r="F214" s="127">
        <v>1</v>
      </c>
      <c r="G214" s="124">
        <f aca="true" t="shared" si="26" ref="G214:G222">P214*$M$1</f>
        <v>528.0827499999999</v>
      </c>
      <c r="H214" s="124">
        <f aca="true" t="shared" si="27" ref="H214:H222">F214*G214</f>
        <v>528.0827499999999</v>
      </c>
      <c r="I214" s="125"/>
      <c r="J214" s="166"/>
      <c r="P214" s="124">
        <v>280.15</v>
      </c>
    </row>
    <row r="215" spans="1:16" ht="24">
      <c r="A215" s="10"/>
      <c r="B215" s="54" t="s">
        <v>159</v>
      </c>
      <c r="C215" s="89">
        <v>322</v>
      </c>
      <c r="D215" s="15" t="s">
        <v>209</v>
      </c>
      <c r="E215" s="23" t="s">
        <v>183</v>
      </c>
      <c r="F215" s="127">
        <v>1</v>
      </c>
      <c r="G215" s="124">
        <f t="shared" si="26"/>
        <v>746.74275</v>
      </c>
      <c r="H215" s="124">
        <f t="shared" si="27"/>
        <v>746.74275</v>
      </c>
      <c r="I215" s="125"/>
      <c r="J215" s="166"/>
      <c r="P215" s="124">
        <v>396.15</v>
      </c>
    </row>
    <row r="216" spans="1:16" ht="24">
      <c r="A216" s="10"/>
      <c r="B216" s="54" t="s">
        <v>161</v>
      </c>
      <c r="C216" s="89">
        <v>322</v>
      </c>
      <c r="D216" s="15" t="s">
        <v>103</v>
      </c>
      <c r="E216" s="23" t="s">
        <v>183</v>
      </c>
      <c r="F216" s="127">
        <v>1</v>
      </c>
      <c r="G216" s="124">
        <f t="shared" si="26"/>
        <v>1837.5357000000001</v>
      </c>
      <c r="H216" s="124">
        <f t="shared" si="27"/>
        <v>1837.5357000000001</v>
      </c>
      <c r="I216" s="125"/>
      <c r="J216" s="166"/>
      <c r="P216" s="124">
        <v>974.82</v>
      </c>
    </row>
    <row r="217" spans="1:16" ht="36">
      <c r="A217" s="10"/>
      <c r="B217" s="54" t="s">
        <v>164</v>
      </c>
      <c r="C217" s="89">
        <v>322</v>
      </c>
      <c r="D217" s="15" t="s">
        <v>211</v>
      </c>
      <c r="E217" s="23" t="s">
        <v>183</v>
      </c>
      <c r="F217" s="127">
        <v>4</v>
      </c>
      <c r="G217" s="124">
        <f t="shared" si="26"/>
        <v>822.93445</v>
      </c>
      <c r="H217" s="124">
        <f t="shared" si="27"/>
        <v>3291.7378</v>
      </c>
      <c r="I217" s="125"/>
      <c r="J217" s="166"/>
      <c r="P217" s="124">
        <v>436.57</v>
      </c>
    </row>
    <row r="218" spans="1:16" ht="24">
      <c r="A218" s="10"/>
      <c r="B218" s="54" t="s">
        <v>166</v>
      </c>
      <c r="C218" s="89">
        <v>322</v>
      </c>
      <c r="D218" s="15" t="s">
        <v>217</v>
      </c>
      <c r="E218" s="23" t="s">
        <v>183</v>
      </c>
      <c r="F218" s="127">
        <v>12</v>
      </c>
      <c r="G218" s="124">
        <f t="shared" si="26"/>
        <v>678.8639</v>
      </c>
      <c r="H218" s="124">
        <f t="shared" si="27"/>
        <v>8146.3668</v>
      </c>
      <c r="I218" s="125"/>
      <c r="J218" s="166"/>
      <c r="P218" s="124">
        <v>360.14</v>
      </c>
    </row>
    <row r="219" spans="1:16" ht="24">
      <c r="A219" s="10"/>
      <c r="B219" s="54" t="s">
        <v>168</v>
      </c>
      <c r="C219" s="89">
        <v>322</v>
      </c>
      <c r="D219" s="15" t="s">
        <v>212</v>
      </c>
      <c r="E219" s="23" t="s">
        <v>183</v>
      </c>
      <c r="F219" s="127">
        <v>1</v>
      </c>
      <c r="G219" s="124">
        <f t="shared" si="26"/>
        <v>1045.43985</v>
      </c>
      <c r="H219" s="124">
        <f t="shared" si="27"/>
        <v>1045.43985</v>
      </c>
      <c r="I219" s="125"/>
      <c r="J219" s="166"/>
      <c r="P219" s="124">
        <v>554.61</v>
      </c>
    </row>
    <row r="220" spans="1:16" ht="60">
      <c r="A220" s="10"/>
      <c r="B220" s="54" t="s">
        <v>184</v>
      </c>
      <c r="C220" s="89">
        <v>322</v>
      </c>
      <c r="D220" s="15" t="s">
        <v>213</v>
      </c>
      <c r="E220" s="23" t="s">
        <v>183</v>
      </c>
      <c r="F220" s="127">
        <v>2</v>
      </c>
      <c r="G220" s="124">
        <f t="shared" si="26"/>
        <v>621.54105</v>
      </c>
      <c r="H220" s="124">
        <f t="shared" si="27"/>
        <v>1243.0821</v>
      </c>
      <c r="I220" s="125"/>
      <c r="J220" s="166"/>
      <c r="P220" s="124">
        <v>329.73</v>
      </c>
    </row>
    <row r="221" spans="1:16" ht="48">
      <c r="A221" s="10"/>
      <c r="B221" s="54" t="s">
        <v>185</v>
      </c>
      <c r="C221" s="89">
        <v>322</v>
      </c>
      <c r="D221" s="15" t="s">
        <v>215</v>
      </c>
      <c r="E221" s="23" t="s">
        <v>183</v>
      </c>
      <c r="F221" s="127">
        <v>1</v>
      </c>
      <c r="G221" s="124">
        <f t="shared" si="26"/>
        <v>793.11375</v>
      </c>
      <c r="H221" s="124">
        <f t="shared" si="27"/>
        <v>793.11375</v>
      </c>
      <c r="I221" s="125"/>
      <c r="J221" s="166"/>
      <c r="P221" s="124">
        <v>420.75</v>
      </c>
    </row>
    <row r="222" spans="1:16" ht="12.75" thickBot="1">
      <c r="A222" s="10"/>
      <c r="B222" s="55" t="s">
        <v>186</v>
      </c>
      <c r="C222" s="84">
        <v>322</v>
      </c>
      <c r="D222" s="56" t="s">
        <v>216</v>
      </c>
      <c r="E222" s="57" t="s">
        <v>183</v>
      </c>
      <c r="F222" s="184">
        <v>1</v>
      </c>
      <c r="G222" s="124">
        <f t="shared" si="26"/>
        <v>540.59915</v>
      </c>
      <c r="H222" s="124">
        <f t="shared" si="27"/>
        <v>540.59915</v>
      </c>
      <c r="I222" s="125"/>
      <c r="J222" s="166"/>
      <c r="P222" s="142">
        <v>286.79</v>
      </c>
    </row>
    <row r="223" spans="1:16" ht="12.75" thickBot="1">
      <c r="A223" s="100">
        <v>21</v>
      </c>
      <c r="B223" s="105"/>
      <c r="C223" s="106"/>
      <c r="D223" s="115" t="s">
        <v>218</v>
      </c>
      <c r="E223" s="108"/>
      <c r="F223" s="129"/>
      <c r="G223" s="129"/>
      <c r="H223" s="185"/>
      <c r="I223" s="134">
        <f>SUM(H224:H225)</f>
        <v>183919.57252500003</v>
      </c>
      <c r="J223" s="121">
        <f>I223*100/$I$226</f>
        <v>1.8384091661087358</v>
      </c>
      <c r="P223" s="129"/>
    </row>
    <row r="224" spans="1:16" ht="12">
      <c r="A224" s="10"/>
      <c r="B224" s="58" t="s">
        <v>156</v>
      </c>
      <c r="C224" s="84">
        <v>28</v>
      </c>
      <c r="D224" s="40" t="s">
        <v>246</v>
      </c>
      <c r="E224" s="59" t="s">
        <v>169</v>
      </c>
      <c r="F224" s="186">
        <v>1</v>
      </c>
      <c r="G224" s="124">
        <f>P224*$M$1</f>
        <v>155927.2</v>
      </c>
      <c r="H224" s="140">
        <f>G224*F224</f>
        <v>155927.2</v>
      </c>
      <c r="I224" s="130"/>
      <c r="J224" s="166"/>
      <c r="P224" s="144">
        <v>82720</v>
      </c>
    </row>
    <row r="225" spans="1:16" ht="12.75" thickBot="1">
      <c r="A225" s="10"/>
      <c r="B225" s="60" t="s">
        <v>159</v>
      </c>
      <c r="C225" s="92">
        <v>32</v>
      </c>
      <c r="D225" s="41" t="s">
        <v>218</v>
      </c>
      <c r="E225" s="61" t="s">
        <v>169</v>
      </c>
      <c r="F225" s="187">
        <v>1</v>
      </c>
      <c r="G225" s="124">
        <f>P225*$M$1</f>
        <v>27992.372525000002</v>
      </c>
      <c r="H225" s="183">
        <f>G225*F225</f>
        <v>27992.372525000002</v>
      </c>
      <c r="I225" s="188"/>
      <c r="J225" s="166"/>
      <c r="P225" s="183">
        <v>14850.065</v>
      </c>
    </row>
    <row r="226" spans="1:16" ht="12">
      <c r="A226" s="62"/>
      <c r="B226" s="63"/>
      <c r="C226" s="81"/>
      <c r="D226" s="204" t="s">
        <v>219</v>
      </c>
      <c r="E226" s="205"/>
      <c r="F226" s="205"/>
      <c r="G226" s="205"/>
      <c r="H226" s="206"/>
      <c r="I226" s="189">
        <f>SUM(I5:I223)</f>
        <v>10004278.477042895</v>
      </c>
      <c r="J226" s="64"/>
      <c r="P226" s="5"/>
    </row>
    <row r="227" spans="1:16" ht="12">
      <c r="A227" s="94"/>
      <c r="B227" s="95"/>
      <c r="C227" s="96"/>
      <c r="D227" s="198" t="s">
        <v>64</v>
      </c>
      <c r="E227" s="199"/>
      <c r="F227" s="199"/>
      <c r="G227" s="199"/>
      <c r="H227" s="200"/>
      <c r="I227" s="190">
        <f>I226*2.58/100</f>
        <v>258110.3847077067</v>
      </c>
      <c r="J227" s="64"/>
      <c r="P227" s="5"/>
    </row>
    <row r="228" spans="1:16" ht="12">
      <c r="A228" s="94"/>
      <c r="B228" s="95"/>
      <c r="C228" s="96"/>
      <c r="D228" s="198" t="s">
        <v>220</v>
      </c>
      <c r="E228" s="199"/>
      <c r="F228" s="199"/>
      <c r="G228" s="199"/>
      <c r="H228" s="200"/>
      <c r="I228" s="190">
        <f>I226+I227</f>
        <v>10262388.8617506</v>
      </c>
      <c r="J228" s="64"/>
      <c r="P228" s="5"/>
    </row>
    <row r="229" spans="1:16" ht="12">
      <c r="A229" s="65"/>
      <c r="B229" s="66"/>
      <c r="C229" s="82"/>
      <c r="D229" s="198" t="s">
        <v>65</v>
      </c>
      <c r="E229" s="199"/>
      <c r="F229" s="199"/>
      <c r="G229" s="199"/>
      <c r="H229" s="200"/>
      <c r="I229" s="190">
        <f>I228*22/100</f>
        <v>2257725.5495851324</v>
      </c>
      <c r="J229" s="64"/>
      <c r="P229" s="5"/>
    </row>
    <row r="230" spans="1:16" ht="12">
      <c r="A230" s="65"/>
      <c r="B230" s="66"/>
      <c r="C230" s="82"/>
      <c r="D230" s="198" t="s">
        <v>108</v>
      </c>
      <c r="E230" s="199"/>
      <c r="F230" s="199"/>
      <c r="G230" s="199"/>
      <c r="H230" s="200"/>
      <c r="I230" s="190">
        <f>10*I228/100</f>
        <v>1026238.8861750602</v>
      </c>
      <c r="J230" s="64"/>
      <c r="P230" s="5"/>
    </row>
    <row r="231" spans="1:16" ht="12">
      <c r="A231" s="65"/>
      <c r="B231" s="66"/>
      <c r="C231" s="82"/>
      <c r="D231" s="198" t="s">
        <v>220</v>
      </c>
      <c r="E231" s="199"/>
      <c r="F231" s="199"/>
      <c r="G231" s="199"/>
      <c r="H231" s="200"/>
      <c r="I231" s="190">
        <f>I228+I229+I230</f>
        <v>13546353.297510793</v>
      </c>
      <c r="J231" s="64"/>
      <c r="K231" s="38"/>
      <c r="P231" s="5"/>
    </row>
    <row r="232" spans="1:16" ht="12">
      <c r="A232" s="97"/>
      <c r="B232" s="98"/>
      <c r="C232" s="99"/>
      <c r="D232" s="198" t="s">
        <v>280</v>
      </c>
      <c r="E232" s="199"/>
      <c r="F232" s="199"/>
      <c r="G232" s="199"/>
      <c r="H232" s="200"/>
      <c r="I232" s="191">
        <f>I231*4/100</f>
        <v>541854.1319004317</v>
      </c>
      <c r="J232" s="64"/>
      <c r="K232" s="38"/>
      <c r="P232" s="5"/>
    </row>
    <row r="233" spans="1:16" ht="12.75" thickBot="1">
      <c r="A233" s="97"/>
      <c r="B233" s="98"/>
      <c r="C233" s="99"/>
      <c r="D233" s="198" t="s">
        <v>220</v>
      </c>
      <c r="E233" s="199"/>
      <c r="F233" s="199"/>
      <c r="G233" s="199"/>
      <c r="H233" s="200"/>
      <c r="I233" s="191">
        <f>I231+I232</f>
        <v>14088207.429411225</v>
      </c>
      <c r="J233" s="64"/>
      <c r="K233" s="38"/>
      <c r="P233" s="5"/>
    </row>
    <row r="234" spans="1:16" ht="12.75" hidden="1" thickBot="1">
      <c r="A234" s="97"/>
      <c r="B234" s="98"/>
      <c r="C234" s="99"/>
      <c r="D234" s="198"/>
      <c r="E234" s="199"/>
      <c r="F234" s="199"/>
      <c r="G234" s="199"/>
      <c r="H234" s="200"/>
      <c r="I234" s="191"/>
      <c r="J234" s="64"/>
      <c r="K234" s="38"/>
      <c r="P234" s="5"/>
    </row>
    <row r="235" spans="1:16" ht="12.75" thickBot="1">
      <c r="A235" s="67"/>
      <c r="B235" s="68"/>
      <c r="C235" s="83"/>
      <c r="D235" s="202" t="s">
        <v>68</v>
      </c>
      <c r="E235" s="203"/>
      <c r="F235" s="203"/>
      <c r="G235" s="203"/>
      <c r="H235" s="203"/>
      <c r="I235" s="116">
        <f>I233+I234</f>
        <v>14088207.429411225</v>
      </c>
      <c r="J235" s="93">
        <f>SUM(J5:J223)</f>
        <v>100</v>
      </c>
      <c r="K235" s="38"/>
      <c r="P235" s="5"/>
    </row>
    <row r="236" spans="1:16" ht="12.75" customHeight="1">
      <c r="A236" s="196"/>
      <c r="B236" s="196"/>
      <c r="C236" s="196"/>
      <c r="D236" s="196"/>
      <c r="E236" s="196"/>
      <c r="F236" s="196"/>
      <c r="G236" s="196"/>
      <c r="H236" s="196"/>
      <c r="I236" s="196"/>
      <c r="J236" s="196"/>
      <c r="K236" s="38"/>
      <c r="P236" s="5"/>
    </row>
    <row r="237" spans="1:16" ht="12">
      <c r="A237" s="197"/>
      <c r="B237" s="197"/>
      <c r="C237" s="197"/>
      <c r="D237" s="197"/>
      <c r="E237" s="197"/>
      <c r="F237" s="197"/>
      <c r="G237" s="197"/>
      <c r="H237" s="197"/>
      <c r="I237" s="197"/>
      <c r="J237" s="197"/>
      <c r="K237" s="38"/>
      <c r="P237" s="5"/>
    </row>
    <row r="238" spans="1:16" ht="12">
      <c r="A238" s="197"/>
      <c r="B238" s="197"/>
      <c r="C238" s="197"/>
      <c r="D238" s="197"/>
      <c r="E238" s="197"/>
      <c r="F238" s="197"/>
      <c r="G238" s="197"/>
      <c r="H238" s="197"/>
      <c r="I238" s="197"/>
      <c r="J238" s="197"/>
      <c r="P238" s="5"/>
    </row>
    <row r="239" spans="1:10" ht="12">
      <c r="A239" s="70"/>
      <c r="B239" s="70"/>
      <c r="C239" s="70"/>
      <c r="E239" s="70"/>
      <c r="F239" s="5"/>
      <c r="H239" s="71"/>
      <c r="I239" s="71"/>
      <c r="J239" s="72"/>
    </row>
    <row r="240" spans="1:16" ht="12">
      <c r="A240" s="69"/>
      <c r="B240" s="69"/>
      <c r="C240" s="69"/>
      <c r="D240" s="7"/>
      <c r="E240" s="69"/>
      <c r="F240" s="7"/>
      <c r="G240" s="6"/>
      <c r="H240" s="6"/>
      <c r="I240" s="6"/>
      <c r="J240" s="77"/>
      <c r="K240" s="7"/>
      <c r="P240" s="6"/>
    </row>
    <row r="241" spans="1:6" ht="12">
      <c r="A241" s="69"/>
      <c r="B241" s="78"/>
      <c r="C241" s="69"/>
      <c r="D241" s="7"/>
      <c r="E241" s="79"/>
      <c r="F241" s="80"/>
    </row>
    <row r="242" spans="1:6" ht="12">
      <c r="A242" s="69"/>
      <c r="B242" s="78"/>
      <c r="C242" s="69"/>
      <c r="D242" s="7"/>
      <c r="E242" s="79"/>
      <c r="F242" s="80"/>
    </row>
    <row r="243" spans="1:3" ht="12">
      <c r="A243" s="70"/>
      <c r="C243" s="70"/>
    </row>
    <row r="244" spans="1:3" ht="12">
      <c r="A244" s="70"/>
      <c r="C244" s="70"/>
    </row>
    <row r="245" spans="1:3" ht="12">
      <c r="A245" s="70"/>
      <c r="C245" s="70"/>
    </row>
    <row r="246" spans="1:3" ht="12">
      <c r="A246" s="70"/>
      <c r="C246" s="70"/>
    </row>
    <row r="247" spans="1:3" ht="12">
      <c r="A247" s="70"/>
      <c r="C247" s="70"/>
    </row>
    <row r="248" spans="1:3" ht="12">
      <c r="A248" s="70"/>
      <c r="C248" s="70"/>
    </row>
    <row r="249" spans="1:3" ht="12">
      <c r="A249" s="70"/>
      <c r="C249" s="70"/>
    </row>
    <row r="250" spans="1:3" ht="12">
      <c r="A250" s="70"/>
      <c r="C250" s="70"/>
    </row>
    <row r="251" spans="1:3" ht="12">
      <c r="A251" s="70"/>
      <c r="C251" s="70"/>
    </row>
    <row r="252" spans="1:3" ht="12">
      <c r="A252" s="70"/>
      <c r="C252" s="70"/>
    </row>
    <row r="253" spans="1:3" ht="12">
      <c r="A253" s="70"/>
      <c r="C253" s="70"/>
    </row>
    <row r="254" spans="1:3" ht="12">
      <c r="A254" s="70"/>
      <c r="C254" s="70"/>
    </row>
    <row r="255" spans="1:3" ht="12">
      <c r="A255" s="70"/>
      <c r="C255" s="70"/>
    </row>
    <row r="256" spans="1:3" ht="12">
      <c r="A256" s="70"/>
      <c r="C256" s="70"/>
    </row>
    <row r="257" spans="1:3" ht="12">
      <c r="A257" s="70"/>
      <c r="C257" s="70"/>
    </row>
    <row r="258" spans="1:3" ht="12">
      <c r="A258" s="70"/>
      <c r="C258" s="70"/>
    </row>
    <row r="259" spans="1:3" ht="12">
      <c r="A259" s="70"/>
      <c r="C259" s="70"/>
    </row>
    <row r="260" spans="1:3" ht="12">
      <c r="A260" s="70"/>
      <c r="C260" s="70"/>
    </row>
  </sheetData>
  <sheetProtection/>
  <mergeCells count="28">
    <mergeCell ref="P3:P4"/>
    <mergeCell ref="A1:B1"/>
    <mergeCell ref="H3:H4"/>
    <mergeCell ref="I3:I4"/>
    <mergeCell ref="C3:C4"/>
    <mergeCell ref="E3:E4"/>
    <mergeCell ref="F3:F4"/>
    <mergeCell ref="G3:G4"/>
    <mergeCell ref="D228:H228"/>
    <mergeCell ref="D232:H232"/>
    <mergeCell ref="D233:H233"/>
    <mergeCell ref="I1:J1"/>
    <mergeCell ref="C1:H1"/>
    <mergeCell ref="J3:J4"/>
    <mergeCell ref="A2:I2"/>
    <mergeCell ref="A3:A4"/>
    <mergeCell ref="B3:B4"/>
    <mergeCell ref="D3:D4"/>
    <mergeCell ref="A236:J238"/>
    <mergeCell ref="D234:H234"/>
    <mergeCell ref="I144:I147"/>
    <mergeCell ref="I149:I150"/>
    <mergeCell ref="D235:H235"/>
    <mergeCell ref="D226:H226"/>
    <mergeCell ref="D229:H229"/>
    <mergeCell ref="D230:H230"/>
    <mergeCell ref="D231:H231"/>
    <mergeCell ref="D227:H227"/>
  </mergeCells>
  <printOptions gridLines="1" horizontalCentered="1"/>
  <pageMargins left="0.5905511811023623" right="0.2755905511811024" top="0.7874015748031497" bottom="0.5905511811023623" header="0.7874015748031497" footer="0"/>
  <pageSetup horizontalDpi="600" verticalDpi="600" orientation="portrait" paperSize="9" scale="70" r:id="rId4"/>
  <headerFooter alignWithMargins="0">
    <oddFooter>&amp;C&amp;8Página &amp;P de &amp;N</oddFooter>
  </headerFooter>
  <drawing r:id="rId3"/>
  <legacyDrawing r:id="rId2"/>
  <oleObjects>
    <oleObject progId="Word.Document.8" shapeId="955402" r:id="rId1"/>
  </oleObjects>
</worksheet>
</file>

<file path=xl/worksheets/sheet2.xml><?xml version="1.0" encoding="utf-8"?>
<worksheet xmlns="http://schemas.openxmlformats.org/spreadsheetml/2006/main" xmlns:r="http://schemas.openxmlformats.org/officeDocument/2006/relationships">
  <dimension ref="A1:P260"/>
  <sheetViews>
    <sheetView zoomScalePageLayoutView="0" workbookViewId="0" topLeftCell="A214">
      <selection activeCell="J223" sqref="J223"/>
    </sheetView>
  </sheetViews>
  <sheetFormatPr defaultColWidth="11.421875" defaultRowHeight="12.75"/>
  <cols>
    <col min="1" max="1" width="6.140625" style="5" customWidth="1"/>
    <col min="2" max="2" width="5.28125" style="74" customWidth="1"/>
    <col min="3" max="3" width="6.8515625" style="5" customWidth="1"/>
    <col min="4" max="4" width="45.421875" style="5" customWidth="1"/>
    <col min="5" max="5" width="7.28125" style="75" customWidth="1"/>
    <col min="6" max="6" width="13.00390625" style="76" customWidth="1"/>
    <col min="7" max="7" width="13.140625" style="71" customWidth="1"/>
    <col min="8" max="8" width="13.7109375" style="5" customWidth="1"/>
    <col min="9" max="9" width="15.00390625" style="5" customWidth="1"/>
    <col min="10" max="10" width="11.140625" style="73" customWidth="1"/>
    <col min="11" max="11" width="15.140625" style="5" customWidth="1"/>
    <col min="12" max="12" width="13.28125" style="5" customWidth="1"/>
    <col min="13" max="13" width="15.421875" style="5" customWidth="1"/>
    <col min="14" max="15" width="15.7109375" style="5" customWidth="1"/>
    <col min="16" max="16" width="13.140625" style="71" customWidth="1"/>
    <col min="17" max="19" width="15.7109375" style="5" customWidth="1"/>
    <col min="20" max="16384" width="11.421875" style="5" customWidth="1"/>
  </cols>
  <sheetData>
    <row r="1" spans="1:16" ht="58.5" customHeight="1" thickBot="1">
      <c r="A1" s="207"/>
      <c r="B1" s="208"/>
      <c r="C1" s="207"/>
      <c r="D1" s="209"/>
      <c r="E1" s="209"/>
      <c r="F1" s="209"/>
      <c r="G1" s="209"/>
      <c r="H1" s="208"/>
      <c r="I1" s="207" t="s">
        <v>236</v>
      </c>
      <c r="J1" s="208"/>
      <c r="P1" s="5"/>
    </row>
    <row r="2" spans="1:16" ht="16.5" thickBot="1">
      <c r="A2" s="212" t="s">
        <v>127</v>
      </c>
      <c r="B2" s="213"/>
      <c r="C2" s="213"/>
      <c r="D2" s="213"/>
      <c r="E2" s="213"/>
      <c r="F2" s="213"/>
      <c r="G2" s="213"/>
      <c r="H2" s="213"/>
      <c r="I2" s="213"/>
      <c r="J2" s="3"/>
      <c r="K2" s="4"/>
      <c r="P2" s="5"/>
    </row>
    <row r="3" spans="1:16" ht="12.75" customHeight="1">
      <c r="A3" s="214" t="s">
        <v>133</v>
      </c>
      <c r="B3" s="216" t="s">
        <v>134</v>
      </c>
      <c r="C3" s="214" t="s">
        <v>261</v>
      </c>
      <c r="D3" s="218" t="s">
        <v>150</v>
      </c>
      <c r="E3" s="224" t="s">
        <v>151</v>
      </c>
      <c r="F3" s="222" t="s">
        <v>152</v>
      </c>
      <c r="G3" s="220" t="s">
        <v>199</v>
      </c>
      <c r="H3" s="222" t="s">
        <v>153</v>
      </c>
      <c r="I3" s="222" t="s">
        <v>154</v>
      </c>
      <c r="J3" s="210" t="s">
        <v>210</v>
      </c>
      <c r="K3" s="6"/>
      <c r="P3" s="5"/>
    </row>
    <row r="4" spans="1:16" ht="12.75" thickBot="1">
      <c r="A4" s="215"/>
      <c r="B4" s="217"/>
      <c r="C4" s="215"/>
      <c r="D4" s="219"/>
      <c r="E4" s="225"/>
      <c r="F4" s="223"/>
      <c r="G4" s="221"/>
      <c r="H4" s="223"/>
      <c r="I4" s="223"/>
      <c r="J4" s="211"/>
      <c r="P4" s="5"/>
    </row>
    <row r="5" spans="1:16" ht="12.75" thickBot="1">
      <c r="A5" s="100">
        <v>1</v>
      </c>
      <c r="B5" s="101"/>
      <c r="C5" s="102"/>
      <c r="D5" s="103" t="s">
        <v>155</v>
      </c>
      <c r="E5" s="104"/>
      <c r="F5" s="117"/>
      <c r="G5" s="118"/>
      <c r="H5" s="119"/>
      <c r="I5" s="120"/>
      <c r="J5" s="121">
        <f>'computo y presupuesto haspen'!J5</f>
        <v>5.416339440304814</v>
      </c>
      <c r="P5" s="5"/>
    </row>
    <row r="6" spans="1:16" ht="24">
      <c r="A6" s="10"/>
      <c r="B6" s="31" t="s">
        <v>156</v>
      </c>
      <c r="C6" s="84">
        <v>11</v>
      </c>
      <c r="D6" s="12" t="s">
        <v>245</v>
      </c>
      <c r="E6" s="13" t="s">
        <v>88</v>
      </c>
      <c r="F6" s="122">
        <v>1</v>
      </c>
      <c r="G6" s="123"/>
      <c r="H6" s="124"/>
      <c r="I6" s="125"/>
      <c r="J6" s="126"/>
      <c r="P6" s="5"/>
    </row>
    <row r="7" spans="1:16" ht="13.5" customHeight="1">
      <c r="A7" s="10"/>
      <c r="B7" s="14" t="s">
        <v>159</v>
      </c>
      <c r="C7" s="88">
        <v>13</v>
      </c>
      <c r="D7" s="15" t="s">
        <v>160</v>
      </c>
      <c r="E7" s="16" t="s">
        <v>214</v>
      </c>
      <c r="F7" s="127">
        <v>1</v>
      </c>
      <c r="G7" s="124"/>
      <c r="H7" s="124"/>
      <c r="I7" s="125"/>
      <c r="J7" s="126"/>
      <c r="P7" s="5"/>
    </row>
    <row r="8" spans="1:16" ht="13.5" customHeight="1">
      <c r="A8" s="10"/>
      <c r="B8" s="14" t="s">
        <v>161</v>
      </c>
      <c r="C8" s="88">
        <v>15</v>
      </c>
      <c r="D8" s="15" t="s">
        <v>162</v>
      </c>
      <c r="E8" s="16" t="s">
        <v>163</v>
      </c>
      <c r="F8" s="127">
        <v>664.6</v>
      </c>
      <c r="G8" s="124"/>
      <c r="H8" s="124"/>
      <c r="I8" s="125"/>
      <c r="J8" s="126"/>
      <c r="P8" s="5"/>
    </row>
    <row r="9" spans="1:16" ht="13.5" customHeight="1">
      <c r="A9" s="10"/>
      <c r="B9" s="14" t="s">
        <v>164</v>
      </c>
      <c r="C9" s="88">
        <v>14</v>
      </c>
      <c r="D9" s="15" t="s">
        <v>165</v>
      </c>
      <c r="E9" s="16" t="s">
        <v>158</v>
      </c>
      <c r="F9" s="127">
        <v>1</v>
      </c>
      <c r="G9" s="124"/>
      <c r="H9" s="124"/>
      <c r="I9" s="125"/>
      <c r="J9" s="126"/>
      <c r="P9" s="5"/>
    </row>
    <row r="10" spans="1:16" ht="13.5" customHeight="1">
      <c r="A10" s="10"/>
      <c r="B10" s="14" t="s">
        <v>166</v>
      </c>
      <c r="C10" s="88">
        <v>12</v>
      </c>
      <c r="D10" s="15" t="s">
        <v>167</v>
      </c>
      <c r="E10" s="16" t="s">
        <v>158</v>
      </c>
      <c r="F10" s="127">
        <v>1</v>
      </c>
      <c r="G10" s="124"/>
      <c r="H10" s="124"/>
      <c r="I10" s="125"/>
      <c r="J10" s="126"/>
      <c r="P10" s="5"/>
    </row>
    <row r="11" spans="1:16" ht="13.5" customHeight="1">
      <c r="A11" s="10"/>
      <c r="B11" s="14" t="s">
        <v>168</v>
      </c>
      <c r="C11" s="88">
        <v>28</v>
      </c>
      <c r="D11" s="15" t="s">
        <v>170</v>
      </c>
      <c r="E11" s="16" t="s">
        <v>158</v>
      </c>
      <c r="F11" s="127">
        <v>1</v>
      </c>
      <c r="G11" s="124"/>
      <c r="H11" s="124"/>
      <c r="I11" s="125"/>
      <c r="J11" s="126"/>
      <c r="P11" s="5"/>
    </row>
    <row r="12" spans="1:16" ht="12.75" thickBot="1">
      <c r="A12" s="10"/>
      <c r="B12" s="19" t="s">
        <v>184</v>
      </c>
      <c r="C12" s="84">
        <v>19</v>
      </c>
      <c r="D12" s="194" t="s">
        <v>278</v>
      </c>
      <c r="E12" s="195" t="s">
        <v>279</v>
      </c>
      <c r="F12" s="127">
        <v>1</v>
      </c>
      <c r="G12" s="124"/>
      <c r="H12" s="124"/>
      <c r="I12" s="125"/>
      <c r="J12" s="126"/>
      <c r="P12" s="5"/>
    </row>
    <row r="13" spans="1:16" ht="12.75" thickBot="1">
      <c r="A13" s="100">
        <v>2</v>
      </c>
      <c r="B13" s="105"/>
      <c r="C13" s="106"/>
      <c r="D13" s="103" t="s">
        <v>221</v>
      </c>
      <c r="E13" s="104"/>
      <c r="F13" s="128"/>
      <c r="G13" s="129"/>
      <c r="H13" s="129"/>
      <c r="I13" s="120"/>
      <c r="J13" s="121">
        <f>'computo y presupuesto haspen'!J13</f>
        <v>2.0365289936203603</v>
      </c>
      <c r="P13" s="5"/>
    </row>
    <row r="14" spans="1:16" ht="12">
      <c r="A14" s="10"/>
      <c r="B14" s="14" t="s">
        <v>156</v>
      </c>
      <c r="C14" s="84">
        <v>35</v>
      </c>
      <c r="D14" s="15" t="s">
        <v>222</v>
      </c>
      <c r="E14" s="16" t="s">
        <v>171</v>
      </c>
      <c r="F14" s="127">
        <f>1830*0.3</f>
        <v>549</v>
      </c>
      <c r="G14" s="123"/>
      <c r="H14" s="124"/>
      <c r="I14" s="125"/>
      <c r="J14" s="126"/>
      <c r="P14" s="5"/>
    </row>
    <row r="15" spans="1:16" ht="12">
      <c r="A15" s="10"/>
      <c r="B15" s="14" t="s">
        <v>159</v>
      </c>
      <c r="C15" s="89">
        <v>34</v>
      </c>
      <c r="D15" s="15" t="s">
        <v>223</v>
      </c>
      <c r="E15" s="16" t="s">
        <v>171</v>
      </c>
      <c r="F15" s="127">
        <f>F21+F20</f>
        <v>160.76999999999998</v>
      </c>
      <c r="G15" s="124"/>
      <c r="H15" s="124"/>
      <c r="I15" s="125"/>
      <c r="J15" s="126"/>
      <c r="P15" s="5"/>
    </row>
    <row r="16" spans="1:16" ht="24">
      <c r="A16" s="10"/>
      <c r="B16" s="14" t="s">
        <v>161</v>
      </c>
      <c r="C16" s="89">
        <v>489</v>
      </c>
      <c r="D16" s="15" t="s">
        <v>113</v>
      </c>
      <c r="E16" s="16" t="s">
        <v>37</v>
      </c>
      <c r="F16" s="127">
        <v>1</v>
      </c>
      <c r="G16" s="124"/>
      <c r="H16" s="124"/>
      <c r="I16" s="125"/>
      <c r="J16" s="126"/>
      <c r="P16" s="5"/>
    </row>
    <row r="17" spans="1:16" ht="36.75" thickBot="1">
      <c r="A17" s="10"/>
      <c r="B17" s="14" t="s">
        <v>164</v>
      </c>
      <c r="C17" s="84">
        <v>489</v>
      </c>
      <c r="D17" s="15" t="s">
        <v>135</v>
      </c>
      <c r="E17" s="16" t="s">
        <v>37</v>
      </c>
      <c r="F17" s="127">
        <v>1</v>
      </c>
      <c r="G17" s="124"/>
      <c r="H17" s="124"/>
      <c r="I17" s="125"/>
      <c r="J17" s="126"/>
      <c r="P17" s="5"/>
    </row>
    <row r="18" spans="1:16" ht="12.75" thickBot="1">
      <c r="A18" s="100">
        <v>3</v>
      </c>
      <c r="B18" s="105"/>
      <c r="C18" s="106"/>
      <c r="D18" s="103" t="s">
        <v>172</v>
      </c>
      <c r="E18" s="104"/>
      <c r="F18" s="128"/>
      <c r="G18" s="129"/>
      <c r="H18" s="129"/>
      <c r="I18" s="120"/>
      <c r="J18" s="121">
        <f>'computo y presupuesto haspen'!J18</f>
        <v>39.78689130320191</v>
      </c>
      <c r="P18" s="5"/>
    </row>
    <row r="19" spans="1:16" ht="15" customHeight="1">
      <c r="A19" s="10"/>
      <c r="B19" s="11" t="s">
        <v>156</v>
      </c>
      <c r="C19" s="84">
        <v>65</v>
      </c>
      <c r="D19" s="12" t="s">
        <v>173</v>
      </c>
      <c r="E19" s="13" t="s">
        <v>171</v>
      </c>
      <c r="F19" s="127">
        <v>9.94</v>
      </c>
      <c r="G19" s="124"/>
      <c r="H19" s="124"/>
      <c r="I19" s="125"/>
      <c r="J19" s="130"/>
      <c r="P19" s="5"/>
    </row>
    <row r="20" spans="1:16" ht="12">
      <c r="A20" s="10"/>
      <c r="B20" s="14" t="s">
        <v>159</v>
      </c>
      <c r="C20" s="89">
        <v>68</v>
      </c>
      <c r="D20" s="15" t="s">
        <v>101</v>
      </c>
      <c r="E20" s="16" t="s">
        <v>171</v>
      </c>
      <c r="F20" s="127">
        <v>43.64</v>
      </c>
      <c r="G20" s="124"/>
      <c r="H20" s="124"/>
      <c r="I20" s="125"/>
      <c r="J20" s="126"/>
      <c r="P20" s="5"/>
    </row>
    <row r="21" spans="1:16" ht="12">
      <c r="A21" s="10"/>
      <c r="B21" s="14" t="s">
        <v>161</v>
      </c>
      <c r="C21" s="89">
        <v>68</v>
      </c>
      <c r="D21" s="15" t="s">
        <v>102</v>
      </c>
      <c r="E21" s="16" t="s">
        <v>171</v>
      </c>
      <c r="F21" s="127">
        <v>117.13</v>
      </c>
      <c r="G21" s="124"/>
      <c r="H21" s="124"/>
      <c r="I21" s="125"/>
      <c r="J21" s="126"/>
      <c r="P21" s="5"/>
    </row>
    <row r="22" spans="1:16" ht="12">
      <c r="A22" s="10"/>
      <c r="B22" s="14" t="s">
        <v>164</v>
      </c>
      <c r="C22" s="89">
        <v>69</v>
      </c>
      <c r="D22" s="15" t="s">
        <v>114</v>
      </c>
      <c r="E22" s="16" t="s">
        <v>171</v>
      </c>
      <c r="F22" s="127">
        <v>13.7</v>
      </c>
      <c r="G22" s="124"/>
      <c r="H22" s="124"/>
      <c r="I22" s="125"/>
      <c r="J22" s="126"/>
      <c r="P22" s="5"/>
    </row>
    <row r="23" spans="1:16" ht="12">
      <c r="A23" s="10"/>
      <c r="B23" s="14" t="s">
        <v>166</v>
      </c>
      <c r="C23" s="89">
        <v>69</v>
      </c>
      <c r="D23" s="15" t="s">
        <v>115</v>
      </c>
      <c r="E23" s="16" t="s">
        <v>171</v>
      </c>
      <c r="F23" s="127">
        <v>53.59</v>
      </c>
      <c r="G23" s="124"/>
      <c r="H23" s="124"/>
      <c r="I23" s="125"/>
      <c r="J23" s="126"/>
      <c r="P23" s="5"/>
    </row>
    <row r="24" spans="1:16" ht="12">
      <c r="A24" s="10"/>
      <c r="B24" s="14" t="s">
        <v>168</v>
      </c>
      <c r="C24" s="89">
        <v>69</v>
      </c>
      <c r="D24" s="15" t="s">
        <v>117</v>
      </c>
      <c r="E24" s="16" t="s">
        <v>171</v>
      </c>
      <c r="F24" s="127">
        <v>40.47</v>
      </c>
      <c r="G24" s="124"/>
      <c r="H24" s="124"/>
      <c r="I24" s="125"/>
      <c r="J24" s="126"/>
      <c r="P24" s="5"/>
    </row>
    <row r="25" spans="1:16" ht="12">
      <c r="A25" s="10"/>
      <c r="B25" s="14" t="s">
        <v>184</v>
      </c>
      <c r="C25" s="89">
        <v>69</v>
      </c>
      <c r="D25" s="15" t="s">
        <v>118</v>
      </c>
      <c r="E25" s="16" t="s">
        <v>171</v>
      </c>
      <c r="F25" s="127">
        <v>86.14</v>
      </c>
      <c r="G25" s="124"/>
      <c r="H25" s="124"/>
      <c r="I25" s="125"/>
      <c r="J25" s="126"/>
      <c r="P25" s="5"/>
    </row>
    <row r="26" spans="1:16" ht="12">
      <c r="A26" s="10"/>
      <c r="B26" s="14" t="s">
        <v>185</v>
      </c>
      <c r="C26" s="89">
        <v>69</v>
      </c>
      <c r="D26" s="15" t="s">
        <v>119</v>
      </c>
      <c r="E26" s="16" t="s">
        <v>171</v>
      </c>
      <c r="F26" s="127">
        <f>1.3*2.2</f>
        <v>2.8600000000000003</v>
      </c>
      <c r="G26" s="124"/>
      <c r="H26" s="124"/>
      <c r="I26" s="125"/>
      <c r="J26" s="126"/>
      <c r="P26" s="5"/>
    </row>
    <row r="27" spans="1:16" ht="12">
      <c r="A27" s="10"/>
      <c r="B27" s="14" t="s">
        <v>186</v>
      </c>
      <c r="C27" s="89">
        <v>69</v>
      </c>
      <c r="D27" s="15" t="s">
        <v>116</v>
      </c>
      <c r="E27" s="16" t="s">
        <v>171</v>
      </c>
      <c r="F27" s="127">
        <f>((29.02*2)+(7.54*6)+(42.38*2)+(29.72*2))*0.3*0.4</f>
        <v>29.6976</v>
      </c>
      <c r="G27" s="124"/>
      <c r="H27" s="124"/>
      <c r="I27" s="125"/>
      <c r="J27" s="126"/>
      <c r="P27" s="5"/>
    </row>
    <row r="28" spans="1:16" ht="24">
      <c r="A28" s="10"/>
      <c r="B28" s="14" t="s">
        <v>187</v>
      </c>
      <c r="C28" s="89">
        <v>69</v>
      </c>
      <c r="D28" s="15" t="s">
        <v>99</v>
      </c>
      <c r="E28" s="16" t="s">
        <v>171</v>
      </c>
      <c r="F28" s="127">
        <f>((29.02*2)+(42.38*2))*0.3*0.4</f>
        <v>17.136000000000003</v>
      </c>
      <c r="G28" s="124"/>
      <c r="H28" s="124"/>
      <c r="I28" s="125"/>
      <c r="J28" s="126"/>
      <c r="P28" s="5"/>
    </row>
    <row r="29" spans="1:16" ht="48">
      <c r="A29" s="10"/>
      <c r="B29" s="14" t="s">
        <v>188</v>
      </c>
      <c r="C29" s="89">
        <v>125</v>
      </c>
      <c r="D29" s="15" t="s">
        <v>120</v>
      </c>
      <c r="E29" s="16" t="s">
        <v>169</v>
      </c>
      <c r="F29" s="127">
        <v>1</v>
      </c>
      <c r="G29" s="124"/>
      <c r="H29" s="124"/>
      <c r="I29" s="125"/>
      <c r="J29" s="126"/>
      <c r="P29" s="5"/>
    </row>
    <row r="30" spans="1:16" ht="48">
      <c r="A30" s="10"/>
      <c r="B30" s="14" t="s">
        <v>189</v>
      </c>
      <c r="C30" s="89">
        <v>125</v>
      </c>
      <c r="D30" s="15" t="s">
        <v>79</v>
      </c>
      <c r="E30" s="16" t="s">
        <v>169</v>
      </c>
      <c r="F30" s="127">
        <v>1</v>
      </c>
      <c r="G30" s="124"/>
      <c r="H30" s="124"/>
      <c r="I30" s="125"/>
      <c r="J30" s="126"/>
      <c r="P30" s="5"/>
    </row>
    <row r="31" spans="1:16" ht="12">
      <c r="A31" s="10"/>
      <c r="B31" s="14" t="s">
        <v>190</v>
      </c>
      <c r="C31" s="89">
        <v>125</v>
      </c>
      <c r="D31" s="15" t="s">
        <v>91</v>
      </c>
      <c r="E31" s="16" t="s">
        <v>93</v>
      </c>
      <c r="F31" s="127">
        <f>(61.4*25.3*8)+(68.26*6.1*8*2)+(47.9*25.3*3)+(55.2*6.1*3*2)</f>
        <v>24745.466</v>
      </c>
      <c r="G31" s="124"/>
      <c r="H31" s="124"/>
      <c r="I31" s="125"/>
      <c r="J31" s="126"/>
      <c r="P31" s="5"/>
    </row>
    <row r="32" spans="1:16" ht="12">
      <c r="A32" s="10"/>
      <c r="B32" s="14" t="s">
        <v>191</v>
      </c>
      <c r="C32" s="89">
        <v>125</v>
      </c>
      <c r="D32" s="15" t="s">
        <v>92</v>
      </c>
      <c r="E32" s="16" t="s">
        <v>93</v>
      </c>
      <c r="F32" s="127">
        <f>((29.8*16)+(42.4*25))*3.7</f>
        <v>5686.16</v>
      </c>
      <c r="G32" s="124"/>
      <c r="H32" s="124"/>
      <c r="I32" s="125"/>
      <c r="J32" s="126"/>
      <c r="P32" s="5"/>
    </row>
    <row r="33" spans="1:16" ht="36.75" thickBot="1">
      <c r="A33" s="10"/>
      <c r="B33" s="14" t="s">
        <v>192</v>
      </c>
      <c r="C33" s="84">
        <v>125</v>
      </c>
      <c r="D33" s="15" t="s">
        <v>51</v>
      </c>
      <c r="E33" s="16" t="s">
        <v>93</v>
      </c>
      <c r="F33" s="127">
        <v>450</v>
      </c>
      <c r="G33" s="124"/>
      <c r="H33" s="124"/>
      <c r="I33" s="125"/>
      <c r="J33" s="126"/>
      <c r="P33" s="5"/>
    </row>
    <row r="34" spans="1:16" ht="12.75" thickBot="1">
      <c r="A34" s="100">
        <v>4</v>
      </c>
      <c r="B34" s="105"/>
      <c r="C34" s="106"/>
      <c r="D34" s="103" t="s">
        <v>174</v>
      </c>
      <c r="E34" s="107"/>
      <c r="F34" s="131"/>
      <c r="G34" s="132"/>
      <c r="H34" s="133"/>
      <c r="I34" s="120"/>
      <c r="J34" s="121">
        <f>'computo y presupuesto haspen'!J34</f>
        <v>7.686408625373554</v>
      </c>
      <c r="P34" s="5"/>
    </row>
    <row r="35" spans="1:16" ht="168">
      <c r="A35" s="10"/>
      <c r="B35" s="11" t="s">
        <v>156</v>
      </c>
      <c r="C35" s="84">
        <v>113</v>
      </c>
      <c r="D35" s="17" t="s">
        <v>2</v>
      </c>
      <c r="E35" s="18" t="s">
        <v>175</v>
      </c>
      <c r="F35" s="135">
        <f>59.95*3</f>
        <v>179.85000000000002</v>
      </c>
      <c r="G35" s="124"/>
      <c r="H35" s="123"/>
      <c r="I35" s="136"/>
      <c r="J35" s="130"/>
      <c r="P35" s="5"/>
    </row>
    <row r="36" spans="1:16" ht="132">
      <c r="A36" s="10"/>
      <c r="B36" s="19" t="s">
        <v>159</v>
      </c>
      <c r="C36" s="89">
        <v>111</v>
      </c>
      <c r="D36" s="20" t="s">
        <v>94</v>
      </c>
      <c r="E36" s="21" t="s">
        <v>175</v>
      </c>
      <c r="F36" s="137">
        <f>142.79*(3.35+1.47)</f>
        <v>688.2478</v>
      </c>
      <c r="G36" s="124"/>
      <c r="H36" s="138"/>
      <c r="I36" s="125"/>
      <c r="J36" s="126"/>
      <c r="P36" s="5"/>
    </row>
    <row r="37" spans="1:16" ht="156">
      <c r="A37" s="10"/>
      <c r="B37" s="14" t="s">
        <v>161</v>
      </c>
      <c r="C37" s="89">
        <v>113</v>
      </c>
      <c r="D37" s="22" t="s">
        <v>128</v>
      </c>
      <c r="E37" s="23" t="s">
        <v>175</v>
      </c>
      <c r="F37" s="139">
        <v>34.97</v>
      </c>
      <c r="G37" s="124"/>
      <c r="H37" s="124"/>
      <c r="I37" s="125"/>
      <c r="J37" s="126"/>
      <c r="P37" s="5"/>
    </row>
    <row r="38" spans="1:16" ht="144">
      <c r="A38" s="10"/>
      <c r="B38" s="14" t="s">
        <v>164</v>
      </c>
      <c r="C38" s="89">
        <v>113</v>
      </c>
      <c r="D38" s="22" t="s">
        <v>129</v>
      </c>
      <c r="E38" s="23" t="s">
        <v>175</v>
      </c>
      <c r="F38" s="139">
        <f>42.08*5.2</f>
        <v>218.816</v>
      </c>
      <c r="G38" s="124"/>
      <c r="H38" s="124"/>
      <c r="I38" s="125"/>
      <c r="J38" s="126"/>
      <c r="P38" s="5"/>
    </row>
    <row r="39" spans="1:16" ht="144">
      <c r="A39" s="10"/>
      <c r="B39" s="14" t="s">
        <v>166</v>
      </c>
      <c r="C39" s="89"/>
      <c r="D39" s="22" t="s">
        <v>1</v>
      </c>
      <c r="E39" s="23" t="s">
        <v>175</v>
      </c>
      <c r="F39" s="139">
        <f>5.38*3.5</f>
        <v>18.83</v>
      </c>
      <c r="G39" s="124"/>
      <c r="H39" s="124"/>
      <c r="I39" s="125"/>
      <c r="J39" s="126"/>
      <c r="P39" s="5"/>
    </row>
    <row r="40" spans="1:16" ht="36">
      <c r="A40" s="10"/>
      <c r="B40" s="14" t="s">
        <v>168</v>
      </c>
      <c r="C40" s="89">
        <v>102</v>
      </c>
      <c r="D40" s="22" t="s">
        <v>130</v>
      </c>
      <c r="E40" s="23" t="s">
        <v>175</v>
      </c>
      <c r="F40" s="139">
        <f>145.79*3</f>
        <v>437.37</v>
      </c>
      <c r="G40" s="124"/>
      <c r="H40" s="124"/>
      <c r="I40" s="125"/>
      <c r="J40" s="126"/>
      <c r="P40" s="5"/>
    </row>
    <row r="41" spans="1:16" ht="60.75" thickBot="1">
      <c r="A41" s="10"/>
      <c r="B41" s="14" t="s">
        <v>184</v>
      </c>
      <c r="C41" s="84">
        <v>114</v>
      </c>
      <c r="D41" s="22" t="s">
        <v>131</v>
      </c>
      <c r="E41" s="23" t="s">
        <v>175</v>
      </c>
      <c r="F41" s="139">
        <f>36.95*2.05</f>
        <v>75.7475</v>
      </c>
      <c r="G41" s="124"/>
      <c r="H41" s="124"/>
      <c r="I41" s="125"/>
      <c r="J41" s="126"/>
      <c r="P41" s="5"/>
    </row>
    <row r="42" spans="1:16" ht="12.75" thickBot="1">
      <c r="A42" s="100">
        <v>5</v>
      </c>
      <c r="B42" s="105"/>
      <c r="C42" s="106"/>
      <c r="D42" s="103" t="s">
        <v>176</v>
      </c>
      <c r="E42" s="108"/>
      <c r="F42" s="128"/>
      <c r="G42" s="129"/>
      <c r="H42" s="129"/>
      <c r="I42" s="120"/>
      <c r="J42" s="121">
        <f>'computo y presupuesto haspen'!J42</f>
        <v>4.595898132649798</v>
      </c>
      <c r="P42" s="5"/>
    </row>
    <row r="43" spans="1:16" ht="24">
      <c r="A43" s="10"/>
      <c r="B43" s="14" t="s">
        <v>156</v>
      </c>
      <c r="C43" s="84">
        <v>175</v>
      </c>
      <c r="D43" s="17" t="s">
        <v>265</v>
      </c>
      <c r="E43" s="24" t="s">
        <v>175</v>
      </c>
      <c r="F43" s="127">
        <f>59+43+6+145</f>
        <v>253</v>
      </c>
      <c r="G43" s="124"/>
      <c r="H43" s="124"/>
      <c r="I43" s="125"/>
      <c r="J43" s="126"/>
      <c r="P43" s="5"/>
    </row>
    <row r="44" spans="1:16" ht="24">
      <c r="A44" s="10"/>
      <c r="B44" s="14" t="s">
        <v>159</v>
      </c>
      <c r="C44" s="89">
        <v>231</v>
      </c>
      <c r="D44" s="22" t="s">
        <v>271</v>
      </c>
      <c r="E44" s="24" t="s">
        <v>175</v>
      </c>
      <c r="F44" s="127">
        <v>1116.91</v>
      </c>
      <c r="G44" s="124"/>
      <c r="H44" s="124"/>
      <c r="I44" s="125"/>
      <c r="J44" s="126"/>
      <c r="P44" s="5"/>
    </row>
    <row r="45" spans="1:16" ht="72">
      <c r="A45" s="10"/>
      <c r="B45" s="14" t="s">
        <v>161</v>
      </c>
      <c r="C45" s="89">
        <v>194</v>
      </c>
      <c r="D45" s="22" t="s">
        <v>80</v>
      </c>
      <c r="E45" s="24" t="s">
        <v>163</v>
      </c>
      <c r="F45" s="127">
        <v>147.38</v>
      </c>
      <c r="G45" s="124"/>
      <c r="H45" s="124"/>
      <c r="I45" s="125"/>
      <c r="J45" s="126"/>
      <c r="P45" s="5"/>
    </row>
    <row r="46" spans="1:16" ht="60.75" thickBot="1">
      <c r="A46" s="25"/>
      <c r="B46" s="14" t="s">
        <v>164</v>
      </c>
      <c r="C46" s="84">
        <v>194</v>
      </c>
      <c r="D46" s="22" t="s">
        <v>78</v>
      </c>
      <c r="E46" s="24" t="s">
        <v>175</v>
      </c>
      <c r="F46" s="127">
        <f>F48</f>
        <v>1269.51</v>
      </c>
      <c r="G46" s="124"/>
      <c r="H46" s="124"/>
      <c r="I46" s="125"/>
      <c r="J46" s="126"/>
      <c r="P46" s="5"/>
    </row>
    <row r="47" spans="1:16" ht="12.75" thickBot="1">
      <c r="A47" s="100">
        <v>6</v>
      </c>
      <c r="B47" s="105"/>
      <c r="C47" s="106"/>
      <c r="D47" s="103" t="s">
        <v>177</v>
      </c>
      <c r="E47" s="108"/>
      <c r="F47" s="128"/>
      <c r="G47" s="129"/>
      <c r="H47" s="129"/>
      <c r="I47" s="120"/>
      <c r="J47" s="121">
        <f>'computo y presupuesto haspen'!J47</f>
        <v>4.217323527940325</v>
      </c>
      <c r="P47" s="5"/>
    </row>
    <row r="48" spans="1:16" ht="24">
      <c r="A48" s="10"/>
      <c r="B48" s="11" t="s">
        <v>156</v>
      </c>
      <c r="C48" s="84">
        <v>201</v>
      </c>
      <c r="D48" s="17" t="s">
        <v>95</v>
      </c>
      <c r="E48" s="26" t="s">
        <v>175</v>
      </c>
      <c r="F48" s="122">
        <f>1325.75-F49</f>
        <v>1269.51</v>
      </c>
      <c r="G48" s="124"/>
      <c r="H48" s="124"/>
      <c r="I48" s="125"/>
      <c r="J48" s="130"/>
      <c r="K48" s="7"/>
      <c r="P48" s="5"/>
    </row>
    <row r="49" spans="1:16" ht="12.75" thickBot="1">
      <c r="A49" s="10"/>
      <c r="B49" s="14" t="s">
        <v>159</v>
      </c>
      <c r="C49" s="92">
        <v>405</v>
      </c>
      <c r="D49" s="27" t="s">
        <v>3</v>
      </c>
      <c r="E49" s="24" t="s">
        <v>175</v>
      </c>
      <c r="F49" s="127">
        <v>56.24</v>
      </c>
      <c r="G49" s="124"/>
      <c r="H49" s="124"/>
      <c r="I49" s="125"/>
      <c r="J49" s="126"/>
      <c r="K49" s="7"/>
      <c r="P49" s="5"/>
    </row>
    <row r="50" spans="1:16" ht="12.75" thickBot="1">
      <c r="A50" s="100">
        <v>7</v>
      </c>
      <c r="B50" s="105"/>
      <c r="C50" s="106"/>
      <c r="D50" s="103" t="s">
        <v>178</v>
      </c>
      <c r="E50" s="108"/>
      <c r="F50" s="128"/>
      <c r="G50" s="129"/>
      <c r="H50" s="129"/>
      <c r="I50" s="120"/>
      <c r="J50" s="121">
        <f>'computo y presupuesto haspen'!J50</f>
        <v>4.988374821925304</v>
      </c>
      <c r="K50" s="7"/>
      <c r="P50" s="5"/>
    </row>
    <row r="51" spans="1:11" s="1" customFormat="1" ht="24">
      <c r="A51" s="10"/>
      <c r="B51" s="52" t="s">
        <v>156</v>
      </c>
      <c r="C51" s="84">
        <v>172</v>
      </c>
      <c r="D51" s="86" t="s">
        <v>241</v>
      </c>
      <c r="E51" s="87" t="s">
        <v>175</v>
      </c>
      <c r="F51" s="143">
        <f>F35+F37+F38</f>
        <v>433.636</v>
      </c>
      <c r="G51" s="124"/>
      <c r="H51" s="144"/>
      <c r="I51" s="145"/>
      <c r="J51" s="146"/>
      <c r="K51" s="28"/>
    </row>
    <row r="52" spans="1:11" s="1" customFormat="1" ht="12.75">
      <c r="A52" s="10"/>
      <c r="B52" s="14" t="s">
        <v>159</v>
      </c>
      <c r="C52" s="89">
        <v>172</v>
      </c>
      <c r="D52" s="22" t="s">
        <v>240</v>
      </c>
      <c r="E52" s="24" t="s">
        <v>175</v>
      </c>
      <c r="F52" s="127">
        <f>F35+F37+F38+F39+F40+F40</f>
        <v>1327.2060000000001</v>
      </c>
      <c r="G52" s="124"/>
      <c r="H52" s="124"/>
      <c r="I52" s="141"/>
      <c r="J52" s="146"/>
      <c r="K52" s="28"/>
    </row>
    <row r="53" spans="1:16" ht="60.75" thickBot="1">
      <c r="A53" s="10"/>
      <c r="B53" s="19" t="s">
        <v>161</v>
      </c>
      <c r="C53" s="84">
        <v>421</v>
      </c>
      <c r="D53" s="20" t="s">
        <v>4</v>
      </c>
      <c r="E53" s="29" t="s">
        <v>175</v>
      </c>
      <c r="F53" s="147">
        <f>F38</f>
        <v>218.816</v>
      </c>
      <c r="G53" s="124"/>
      <c r="H53" s="148"/>
      <c r="I53" s="149"/>
      <c r="J53" s="150"/>
      <c r="K53" s="7"/>
      <c r="P53" s="5"/>
    </row>
    <row r="54" spans="1:16" ht="12.75" thickBot="1">
      <c r="A54" s="100">
        <v>8</v>
      </c>
      <c r="B54" s="105"/>
      <c r="C54" s="106"/>
      <c r="D54" s="103" t="s">
        <v>179</v>
      </c>
      <c r="E54" s="108"/>
      <c r="F54" s="128"/>
      <c r="G54" s="129"/>
      <c r="H54" s="129"/>
      <c r="I54" s="120"/>
      <c r="J54" s="121">
        <f>'computo y presupuesto haspen'!J54</f>
        <v>3.611739616231705</v>
      </c>
      <c r="P54" s="5"/>
    </row>
    <row r="55" spans="1:16" ht="48">
      <c r="A55" s="10"/>
      <c r="B55" s="11" t="s">
        <v>156</v>
      </c>
      <c r="C55" s="84">
        <v>68</v>
      </c>
      <c r="D55" s="17" t="s">
        <v>242</v>
      </c>
      <c r="E55" s="26" t="s">
        <v>175</v>
      </c>
      <c r="F55" s="122">
        <f>F44</f>
        <v>1116.91</v>
      </c>
      <c r="G55" s="124"/>
      <c r="H55" s="124"/>
      <c r="I55" s="151"/>
      <c r="J55" s="152"/>
      <c r="P55" s="5"/>
    </row>
    <row r="56" spans="1:16" ht="48">
      <c r="A56" s="10"/>
      <c r="B56" s="14" t="s">
        <v>159</v>
      </c>
      <c r="C56" s="89">
        <v>68</v>
      </c>
      <c r="D56" s="22" t="s">
        <v>96</v>
      </c>
      <c r="E56" s="24" t="s">
        <v>175</v>
      </c>
      <c r="F56" s="127">
        <v>266.9</v>
      </c>
      <c r="G56" s="124"/>
      <c r="H56" s="124"/>
      <c r="I56" s="151"/>
      <c r="J56" s="153"/>
      <c r="P56" s="5"/>
    </row>
    <row r="57" spans="1:16" ht="48.75" thickBot="1">
      <c r="A57" s="10"/>
      <c r="B57" s="14" t="s">
        <v>161</v>
      </c>
      <c r="C57" s="84">
        <v>68</v>
      </c>
      <c r="D57" s="22" t="s">
        <v>97</v>
      </c>
      <c r="E57" s="24" t="s">
        <v>175</v>
      </c>
      <c r="F57" s="127">
        <v>30</v>
      </c>
      <c r="G57" s="124"/>
      <c r="H57" s="124"/>
      <c r="I57" s="151"/>
      <c r="J57" s="153"/>
      <c r="P57" s="5"/>
    </row>
    <row r="58" spans="1:16" ht="12.75" thickBot="1">
      <c r="A58" s="100">
        <v>9</v>
      </c>
      <c r="B58" s="105"/>
      <c r="C58" s="106"/>
      <c r="D58" s="103" t="s">
        <v>180</v>
      </c>
      <c r="E58" s="108"/>
      <c r="F58" s="128"/>
      <c r="G58" s="129"/>
      <c r="H58" s="129"/>
      <c r="I58" s="120"/>
      <c r="J58" s="121">
        <f>'computo y presupuesto haspen'!J58</f>
        <v>4.249827939978255</v>
      </c>
      <c r="P58" s="5"/>
    </row>
    <row r="59" spans="1:16" ht="36">
      <c r="A59" s="10"/>
      <c r="B59" s="11" t="s">
        <v>156</v>
      </c>
      <c r="C59" s="84">
        <v>233</v>
      </c>
      <c r="D59" s="17" t="s">
        <v>33</v>
      </c>
      <c r="E59" s="26" t="s">
        <v>175</v>
      </c>
      <c r="F59" s="122">
        <v>149.8</v>
      </c>
      <c r="G59" s="124"/>
      <c r="H59" s="124"/>
      <c r="I59" s="151"/>
      <c r="J59" s="152"/>
      <c r="P59" s="5"/>
    </row>
    <row r="60" spans="1:16" ht="36">
      <c r="A60" s="10"/>
      <c r="B60" s="14" t="s">
        <v>159</v>
      </c>
      <c r="C60" s="89">
        <v>233</v>
      </c>
      <c r="D60" s="22" t="s">
        <v>34</v>
      </c>
      <c r="E60" s="24" t="s">
        <v>175</v>
      </c>
      <c r="F60" s="127">
        <v>185.39</v>
      </c>
      <c r="G60" s="124"/>
      <c r="H60" s="124"/>
      <c r="I60" s="151"/>
      <c r="J60" s="153"/>
      <c r="P60" s="5"/>
    </row>
    <row r="61" spans="1:11" s="1" customFormat="1" ht="24">
      <c r="A61" s="10"/>
      <c r="B61" s="34" t="s">
        <v>161</v>
      </c>
      <c r="C61" s="89">
        <v>238</v>
      </c>
      <c r="D61" s="27" t="s">
        <v>243</v>
      </c>
      <c r="E61" s="35" t="s">
        <v>175</v>
      </c>
      <c r="F61" s="154">
        <f>(0.654*13)+(0.42*19)</f>
        <v>16.482</v>
      </c>
      <c r="G61" s="124"/>
      <c r="H61" s="140"/>
      <c r="I61" s="151"/>
      <c r="J61" s="146"/>
      <c r="K61" s="2"/>
    </row>
    <row r="62" spans="1:11" s="1" customFormat="1" ht="132.75" thickBot="1">
      <c r="A62" s="10"/>
      <c r="B62" s="34" t="s">
        <v>164</v>
      </c>
      <c r="C62" s="84">
        <v>242</v>
      </c>
      <c r="D62" s="22" t="s">
        <v>32</v>
      </c>
      <c r="E62" s="24" t="s">
        <v>175</v>
      </c>
      <c r="F62" s="127">
        <v>781.72</v>
      </c>
      <c r="G62" s="124"/>
      <c r="H62" s="140"/>
      <c r="I62" s="151"/>
      <c r="J62" s="146"/>
      <c r="K62" s="2"/>
    </row>
    <row r="63" spans="1:16" ht="12.75" thickBot="1">
      <c r="A63" s="100">
        <v>10</v>
      </c>
      <c r="B63" s="105"/>
      <c r="C63" s="106"/>
      <c r="D63" s="103" t="s">
        <v>181</v>
      </c>
      <c r="E63" s="108"/>
      <c r="F63" s="128"/>
      <c r="G63" s="129"/>
      <c r="H63" s="129"/>
      <c r="I63" s="120"/>
      <c r="J63" s="121">
        <f>'computo y presupuesto haspen'!J63</f>
        <v>3.8689183337178354</v>
      </c>
      <c r="P63" s="5"/>
    </row>
    <row r="64" spans="1:11" s="1" customFormat="1" ht="36">
      <c r="A64" s="10"/>
      <c r="B64" s="31" t="s">
        <v>156</v>
      </c>
      <c r="C64" s="84">
        <v>138</v>
      </c>
      <c r="D64" s="32" t="s">
        <v>5</v>
      </c>
      <c r="E64" s="33" t="s">
        <v>175</v>
      </c>
      <c r="F64" s="155">
        <v>12.8</v>
      </c>
      <c r="G64" s="124"/>
      <c r="H64" s="145"/>
      <c r="I64" s="151"/>
      <c r="J64" s="146"/>
      <c r="K64" s="2"/>
    </row>
    <row r="65" spans="1:16" ht="84">
      <c r="A65" s="10"/>
      <c r="B65" s="34" t="s">
        <v>159</v>
      </c>
      <c r="C65" s="89">
        <v>359</v>
      </c>
      <c r="D65" s="27" t="s">
        <v>35</v>
      </c>
      <c r="E65" s="35" t="s">
        <v>175</v>
      </c>
      <c r="F65" s="154">
        <v>1192.07</v>
      </c>
      <c r="G65" s="124"/>
      <c r="H65" s="140"/>
      <c r="I65" s="151"/>
      <c r="J65" s="153"/>
      <c r="P65" s="5"/>
    </row>
    <row r="66" spans="1:10" s="1" customFormat="1" ht="36">
      <c r="A66" s="10"/>
      <c r="B66" s="14" t="s">
        <v>161</v>
      </c>
      <c r="C66" s="89">
        <v>68</v>
      </c>
      <c r="D66" s="22" t="s">
        <v>244</v>
      </c>
      <c r="E66" s="24" t="s">
        <v>175</v>
      </c>
      <c r="F66" s="127">
        <v>42.18</v>
      </c>
      <c r="G66" s="124"/>
      <c r="H66" s="124"/>
      <c r="I66" s="151"/>
      <c r="J66" s="156"/>
    </row>
    <row r="67" spans="1:16" ht="36.75" thickBot="1">
      <c r="A67" s="10"/>
      <c r="B67" s="19" t="s">
        <v>164</v>
      </c>
      <c r="C67" s="84">
        <v>141</v>
      </c>
      <c r="D67" s="36" t="s">
        <v>36</v>
      </c>
      <c r="E67" s="29" t="s">
        <v>175</v>
      </c>
      <c r="F67" s="147">
        <v>250.83</v>
      </c>
      <c r="G67" s="124"/>
      <c r="H67" s="138"/>
      <c r="I67" s="151"/>
      <c r="J67" s="153"/>
      <c r="P67" s="5"/>
    </row>
    <row r="68" spans="1:16" ht="12.75" thickBot="1">
      <c r="A68" s="100">
        <v>11</v>
      </c>
      <c r="B68" s="105"/>
      <c r="C68" s="106"/>
      <c r="D68" s="103" t="s">
        <v>182</v>
      </c>
      <c r="E68" s="108"/>
      <c r="F68" s="128"/>
      <c r="G68" s="129"/>
      <c r="H68" s="129"/>
      <c r="I68" s="120"/>
      <c r="J68" s="121">
        <f>'computo y presupuesto haspen'!J68</f>
        <v>1.3556164041285963</v>
      </c>
      <c r="P68" s="5"/>
    </row>
    <row r="69" spans="1:16" ht="120">
      <c r="A69" s="37"/>
      <c r="B69" s="11" t="s">
        <v>156</v>
      </c>
      <c r="C69" s="85">
        <v>233</v>
      </c>
      <c r="D69" s="17" t="s">
        <v>252</v>
      </c>
      <c r="E69" s="26" t="s">
        <v>175</v>
      </c>
      <c r="F69" s="122">
        <v>303.51</v>
      </c>
      <c r="G69" s="124"/>
      <c r="H69" s="124"/>
      <c r="I69" s="151"/>
      <c r="J69" s="153"/>
      <c r="P69" s="5"/>
    </row>
    <row r="70" spans="1:16" ht="96">
      <c r="A70" s="10"/>
      <c r="B70" s="14" t="s">
        <v>159</v>
      </c>
      <c r="C70" s="89">
        <v>233</v>
      </c>
      <c r="D70" s="22" t="s">
        <v>30</v>
      </c>
      <c r="E70" s="24" t="s">
        <v>175</v>
      </c>
      <c r="F70" s="127">
        <f>3.8*1.6</f>
        <v>6.08</v>
      </c>
      <c r="G70" s="124"/>
      <c r="H70" s="124"/>
      <c r="I70" s="151"/>
      <c r="J70" s="153"/>
      <c r="K70" s="38"/>
      <c r="P70" s="5"/>
    </row>
    <row r="71" spans="1:16" ht="48.75" thickBot="1">
      <c r="A71" s="10"/>
      <c r="B71" s="14" t="s">
        <v>161</v>
      </c>
      <c r="C71" s="84">
        <v>240</v>
      </c>
      <c r="D71" s="22" t="s">
        <v>276</v>
      </c>
      <c r="E71" s="24" t="s">
        <v>175</v>
      </c>
      <c r="F71" s="147">
        <f>85.07+184.04</f>
        <v>269.11</v>
      </c>
      <c r="G71" s="124"/>
      <c r="H71" s="124"/>
      <c r="I71" s="151"/>
      <c r="J71" s="153"/>
      <c r="K71" s="38"/>
      <c r="P71" s="5"/>
    </row>
    <row r="72" spans="1:16" ht="18" customHeight="1" thickBot="1">
      <c r="A72" s="100">
        <v>12</v>
      </c>
      <c r="B72" s="105"/>
      <c r="C72" s="106"/>
      <c r="D72" s="103" t="s">
        <v>122</v>
      </c>
      <c r="E72" s="108"/>
      <c r="F72" s="128"/>
      <c r="G72" s="129"/>
      <c r="H72" s="129"/>
      <c r="I72" s="120"/>
      <c r="J72" s="121">
        <f>'computo y presupuesto haspen'!J72</f>
        <v>3.457277717165619</v>
      </c>
      <c r="K72" s="38"/>
      <c r="P72" s="5"/>
    </row>
    <row r="73" spans="1:16" ht="18" customHeight="1">
      <c r="A73" s="10"/>
      <c r="B73" s="11" t="s">
        <v>156</v>
      </c>
      <c r="C73" s="84">
        <v>353</v>
      </c>
      <c r="D73" s="12" t="s">
        <v>38</v>
      </c>
      <c r="E73" s="26" t="s">
        <v>183</v>
      </c>
      <c r="F73" s="122">
        <v>1</v>
      </c>
      <c r="G73" s="124"/>
      <c r="H73" s="124"/>
      <c r="I73" s="151"/>
      <c r="J73" s="159"/>
      <c r="K73" s="38"/>
      <c r="P73" s="5"/>
    </row>
    <row r="74" spans="1:16" ht="18" customHeight="1">
      <c r="A74" s="10"/>
      <c r="B74" s="14" t="s">
        <v>159</v>
      </c>
      <c r="C74" s="89">
        <v>353</v>
      </c>
      <c r="D74" s="15" t="s">
        <v>247</v>
      </c>
      <c r="E74" s="24" t="s">
        <v>183</v>
      </c>
      <c r="F74" s="127">
        <v>1</v>
      </c>
      <c r="G74" s="124"/>
      <c r="H74" s="124"/>
      <c r="I74" s="151"/>
      <c r="J74" s="161"/>
      <c r="K74" s="38"/>
      <c r="P74" s="5"/>
    </row>
    <row r="75" spans="1:16" ht="18" customHeight="1">
      <c r="A75" s="10"/>
      <c r="B75" s="14" t="s">
        <v>161</v>
      </c>
      <c r="C75" s="89">
        <v>353</v>
      </c>
      <c r="D75" s="15" t="s">
        <v>248</v>
      </c>
      <c r="E75" s="24" t="s">
        <v>183</v>
      </c>
      <c r="F75" s="127">
        <v>1</v>
      </c>
      <c r="G75" s="124"/>
      <c r="H75" s="124"/>
      <c r="I75" s="151"/>
      <c r="J75" s="161"/>
      <c r="K75" s="38"/>
      <c r="P75" s="5"/>
    </row>
    <row r="76" spans="1:16" ht="18" customHeight="1">
      <c r="A76" s="10"/>
      <c r="B76" s="14" t="s">
        <v>164</v>
      </c>
      <c r="C76" s="89">
        <v>353</v>
      </c>
      <c r="D76" s="15" t="s">
        <v>249</v>
      </c>
      <c r="E76" s="24" t="s">
        <v>183</v>
      </c>
      <c r="F76" s="127">
        <v>1</v>
      </c>
      <c r="G76" s="124"/>
      <c r="H76" s="124"/>
      <c r="I76" s="151"/>
      <c r="J76" s="161"/>
      <c r="K76" s="38"/>
      <c r="P76" s="5"/>
    </row>
    <row r="77" spans="1:16" ht="18" customHeight="1">
      <c r="A77" s="10"/>
      <c r="B77" s="14" t="s">
        <v>166</v>
      </c>
      <c r="C77" s="89">
        <v>353</v>
      </c>
      <c r="D77" s="15" t="s">
        <v>13</v>
      </c>
      <c r="E77" s="24" t="s">
        <v>183</v>
      </c>
      <c r="F77" s="127">
        <v>1</v>
      </c>
      <c r="G77" s="124"/>
      <c r="H77" s="124"/>
      <c r="I77" s="151"/>
      <c r="J77" s="161"/>
      <c r="K77" s="38"/>
      <c r="P77" s="5"/>
    </row>
    <row r="78" spans="1:16" ht="18" customHeight="1">
      <c r="A78" s="10"/>
      <c r="B78" s="14" t="s">
        <v>168</v>
      </c>
      <c r="C78" s="89">
        <v>353</v>
      </c>
      <c r="D78" s="15" t="s">
        <v>40</v>
      </c>
      <c r="E78" s="24" t="s">
        <v>183</v>
      </c>
      <c r="F78" s="127">
        <v>4</v>
      </c>
      <c r="G78" s="124"/>
      <c r="H78" s="124"/>
      <c r="I78" s="151"/>
      <c r="J78" s="161"/>
      <c r="K78" s="38"/>
      <c r="P78" s="5"/>
    </row>
    <row r="79" spans="1:16" ht="18" customHeight="1">
      <c r="A79" s="10"/>
      <c r="B79" s="14" t="s">
        <v>184</v>
      </c>
      <c r="C79" s="89">
        <v>353</v>
      </c>
      <c r="D79" s="15" t="s">
        <v>41</v>
      </c>
      <c r="E79" s="24" t="s">
        <v>183</v>
      </c>
      <c r="F79" s="127">
        <v>8</v>
      </c>
      <c r="G79" s="124"/>
      <c r="H79" s="124"/>
      <c r="I79" s="151"/>
      <c r="J79" s="161"/>
      <c r="K79" s="38"/>
      <c r="P79" s="5"/>
    </row>
    <row r="80" spans="1:16" ht="18" customHeight="1">
      <c r="A80" s="10"/>
      <c r="B80" s="14" t="s">
        <v>185</v>
      </c>
      <c r="C80" s="89">
        <v>353</v>
      </c>
      <c r="D80" s="15" t="s">
        <v>42</v>
      </c>
      <c r="E80" s="24" t="s">
        <v>183</v>
      </c>
      <c r="F80" s="127">
        <v>14</v>
      </c>
      <c r="G80" s="124"/>
      <c r="H80" s="124"/>
      <c r="I80" s="151"/>
      <c r="J80" s="161"/>
      <c r="K80" s="38"/>
      <c r="P80" s="5"/>
    </row>
    <row r="81" spans="1:16" ht="18" customHeight="1">
      <c r="A81" s="10"/>
      <c r="B81" s="14" t="s">
        <v>186</v>
      </c>
      <c r="C81" s="89">
        <v>353</v>
      </c>
      <c r="D81" s="15" t="s">
        <v>43</v>
      </c>
      <c r="E81" s="24" t="s">
        <v>183</v>
      </c>
      <c r="F81" s="127">
        <v>1</v>
      </c>
      <c r="G81" s="124"/>
      <c r="H81" s="124"/>
      <c r="I81" s="151"/>
      <c r="J81" s="161"/>
      <c r="K81" s="38"/>
      <c r="P81" s="5"/>
    </row>
    <row r="82" spans="1:16" ht="18" customHeight="1">
      <c r="A82" s="10"/>
      <c r="B82" s="14" t="s">
        <v>187</v>
      </c>
      <c r="C82" s="89">
        <v>353</v>
      </c>
      <c r="D82" s="15" t="s">
        <v>250</v>
      </c>
      <c r="E82" s="24" t="s">
        <v>183</v>
      </c>
      <c r="F82" s="127">
        <v>1</v>
      </c>
      <c r="G82" s="124"/>
      <c r="H82" s="124"/>
      <c r="I82" s="151"/>
      <c r="J82" s="161"/>
      <c r="K82" s="38"/>
      <c r="P82" s="5"/>
    </row>
    <row r="83" spans="1:16" ht="18" customHeight="1">
      <c r="A83" s="10"/>
      <c r="B83" s="14" t="s">
        <v>188</v>
      </c>
      <c r="C83" s="89">
        <v>353</v>
      </c>
      <c r="D83" s="15" t="s">
        <v>251</v>
      </c>
      <c r="E83" s="24" t="s">
        <v>183</v>
      </c>
      <c r="F83" s="127">
        <v>1</v>
      </c>
      <c r="G83" s="124"/>
      <c r="H83" s="124"/>
      <c r="I83" s="151"/>
      <c r="J83" s="161"/>
      <c r="K83" s="38"/>
      <c r="P83" s="5"/>
    </row>
    <row r="84" spans="1:16" ht="18" customHeight="1">
      <c r="A84" s="10"/>
      <c r="B84" s="34" t="s">
        <v>189</v>
      </c>
      <c r="C84" s="89">
        <v>353</v>
      </c>
      <c r="D84" s="39" t="s">
        <v>253</v>
      </c>
      <c r="E84" s="35" t="s">
        <v>183</v>
      </c>
      <c r="F84" s="154">
        <v>1</v>
      </c>
      <c r="G84" s="124"/>
      <c r="H84" s="124"/>
      <c r="I84" s="151"/>
      <c r="J84" s="161"/>
      <c r="K84" s="38"/>
      <c r="P84" s="5"/>
    </row>
    <row r="85" spans="1:16" ht="18" customHeight="1">
      <c r="A85" s="10"/>
      <c r="B85" s="14" t="s">
        <v>190</v>
      </c>
      <c r="C85" s="89">
        <v>359</v>
      </c>
      <c r="D85" s="15" t="s">
        <v>39</v>
      </c>
      <c r="E85" s="24" t="s">
        <v>183</v>
      </c>
      <c r="F85" s="127">
        <v>1</v>
      </c>
      <c r="G85" s="124"/>
      <c r="H85" s="124"/>
      <c r="I85" s="151"/>
      <c r="J85" s="161"/>
      <c r="K85" s="38"/>
      <c r="P85" s="5"/>
    </row>
    <row r="86" spans="1:16" ht="18" customHeight="1">
      <c r="A86" s="10"/>
      <c r="B86" s="14" t="s">
        <v>191</v>
      </c>
      <c r="C86" s="89">
        <v>359</v>
      </c>
      <c r="D86" s="15" t="s">
        <v>254</v>
      </c>
      <c r="E86" s="24" t="s">
        <v>183</v>
      </c>
      <c r="F86" s="127">
        <v>3</v>
      </c>
      <c r="G86" s="124"/>
      <c r="H86" s="124"/>
      <c r="I86" s="151"/>
      <c r="J86" s="161"/>
      <c r="K86" s="38"/>
      <c r="P86" s="5"/>
    </row>
    <row r="87" spans="1:16" ht="18" customHeight="1">
      <c r="A87" s="10"/>
      <c r="B87" s="14" t="s">
        <v>192</v>
      </c>
      <c r="C87" s="89">
        <v>359</v>
      </c>
      <c r="D87" s="15" t="s">
        <v>255</v>
      </c>
      <c r="E87" s="24" t="s">
        <v>183</v>
      </c>
      <c r="F87" s="127">
        <v>1</v>
      </c>
      <c r="G87" s="124"/>
      <c r="H87" s="124"/>
      <c r="I87" s="151"/>
      <c r="J87" s="161"/>
      <c r="K87" s="38"/>
      <c r="P87" s="5"/>
    </row>
    <row r="88" spans="1:16" ht="18" customHeight="1">
      <c r="A88" s="10"/>
      <c r="B88" s="14" t="s">
        <v>193</v>
      </c>
      <c r="C88" s="89">
        <v>359</v>
      </c>
      <c r="D88" s="15" t="s">
        <v>256</v>
      </c>
      <c r="E88" s="24" t="s">
        <v>183</v>
      </c>
      <c r="F88" s="127">
        <v>1</v>
      </c>
      <c r="G88" s="124"/>
      <c r="H88" s="124"/>
      <c r="I88" s="151"/>
      <c r="J88" s="161"/>
      <c r="K88" s="38"/>
      <c r="P88" s="5"/>
    </row>
    <row r="89" spans="1:16" ht="18" customHeight="1">
      <c r="A89" s="10"/>
      <c r="B89" s="14" t="s">
        <v>84</v>
      </c>
      <c r="C89" s="89">
        <v>359</v>
      </c>
      <c r="D89" s="15" t="s">
        <v>257</v>
      </c>
      <c r="E89" s="24" t="s">
        <v>183</v>
      </c>
      <c r="F89" s="127">
        <v>1</v>
      </c>
      <c r="G89" s="124"/>
      <c r="H89" s="124"/>
      <c r="I89" s="151"/>
      <c r="J89" s="161"/>
      <c r="K89" s="38"/>
      <c r="P89" s="5"/>
    </row>
    <row r="90" spans="1:16" ht="18" customHeight="1">
      <c r="A90" s="10"/>
      <c r="B90" s="14" t="s">
        <v>85</v>
      </c>
      <c r="C90" s="89">
        <v>359</v>
      </c>
      <c r="D90" s="15" t="s">
        <v>258</v>
      </c>
      <c r="E90" s="24" t="s">
        <v>183</v>
      </c>
      <c r="F90" s="127">
        <v>16</v>
      </c>
      <c r="G90" s="124"/>
      <c r="H90" s="124"/>
      <c r="I90" s="151"/>
      <c r="J90" s="161"/>
      <c r="K90" s="38"/>
      <c r="P90" s="5"/>
    </row>
    <row r="91" spans="1:16" ht="18" customHeight="1">
      <c r="A91" s="10"/>
      <c r="B91" s="14" t="s">
        <v>86</v>
      </c>
      <c r="C91" s="89">
        <v>390</v>
      </c>
      <c r="D91" s="15" t="s">
        <v>44</v>
      </c>
      <c r="E91" s="24" t="s">
        <v>183</v>
      </c>
      <c r="F91" s="127">
        <v>1</v>
      </c>
      <c r="G91" s="124"/>
      <c r="H91" s="124"/>
      <c r="I91" s="151"/>
      <c r="J91" s="161"/>
      <c r="K91" s="38"/>
      <c r="P91" s="5"/>
    </row>
    <row r="92" spans="1:16" ht="24">
      <c r="A92" s="10"/>
      <c r="B92" s="14" t="s">
        <v>274</v>
      </c>
      <c r="C92" s="89">
        <v>390</v>
      </c>
      <c r="D92" s="15" t="s">
        <v>6</v>
      </c>
      <c r="E92" s="24" t="s">
        <v>183</v>
      </c>
      <c r="F92" s="127">
        <v>1</v>
      </c>
      <c r="G92" s="124"/>
      <c r="H92" s="124"/>
      <c r="I92" s="151"/>
      <c r="J92" s="161"/>
      <c r="K92" s="38"/>
      <c r="P92" s="5"/>
    </row>
    <row r="93" spans="1:16" ht="24.75" thickBot="1">
      <c r="A93" s="10"/>
      <c r="B93" s="14" t="s">
        <v>275</v>
      </c>
      <c r="C93" s="84">
        <v>390</v>
      </c>
      <c r="D93" s="15" t="s">
        <v>7</v>
      </c>
      <c r="E93" s="24" t="s">
        <v>183</v>
      </c>
      <c r="F93" s="127">
        <v>1</v>
      </c>
      <c r="G93" s="124"/>
      <c r="H93" s="124"/>
      <c r="I93" s="151"/>
      <c r="J93" s="161"/>
      <c r="K93" s="38"/>
      <c r="P93" s="5"/>
    </row>
    <row r="94" spans="1:16" ht="12.75" thickBot="1">
      <c r="A94" s="100">
        <v>13</v>
      </c>
      <c r="B94" s="105"/>
      <c r="C94" s="106"/>
      <c r="D94" s="103" t="s">
        <v>224</v>
      </c>
      <c r="E94" s="108"/>
      <c r="F94" s="128"/>
      <c r="G94" s="129"/>
      <c r="H94" s="129"/>
      <c r="I94" s="120"/>
      <c r="J94" s="121">
        <f>'computo y presupuesto haspen'!J94</f>
        <v>1.5190282277600018</v>
      </c>
      <c r="P94" s="5"/>
    </row>
    <row r="95" spans="1:16" ht="24">
      <c r="A95" s="10"/>
      <c r="B95" s="11" t="s">
        <v>156</v>
      </c>
      <c r="C95" s="84">
        <v>385</v>
      </c>
      <c r="D95" s="15" t="s">
        <v>14</v>
      </c>
      <c r="E95" s="26" t="s">
        <v>163</v>
      </c>
      <c r="F95" s="122">
        <v>42.7</v>
      </c>
      <c r="G95" s="124"/>
      <c r="H95" s="124"/>
      <c r="I95" s="151"/>
      <c r="J95" s="161"/>
      <c r="P95" s="5"/>
    </row>
    <row r="96" spans="1:16" ht="24">
      <c r="A96" s="10"/>
      <c r="B96" s="14" t="s">
        <v>159</v>
      </c>
      <c r="C96" s="89">
        <v>385</v>
      </c>
      <c r="D96" s="15" t="s">
        <v>15</v>
      </c>
      <c r="E96" s="24" t="s">
        <v>163</v>
      </c>
      <c r="F96" s="127">
        <f>29.8+22.7</f>
        <v>52.5</v>
      </c>
      <c r="G96" s="124"/>
      <c r="H96" s="124"/>
      <c r="I96" s="151"/>
      <c r="J96" s="161"/>
      <c r="P96" s="5"/>
    </row>
    <row r="97" spans="1:16" ht="24">
      <c r="A97" s="10"/>
      <c r="B97" s="14" t="s">
        <v>161</v>
      </c>
      <c r="C97" s="89">
        <v>385</v>
      </c>
      <c r="D97" s="15" t="s">
        <v>16</v>
      </c>
      <c r="E97" s="24" t="s">
        <v>163</v>
      </c>
      <c r="F97" s="127">
        <f>22.7+32.74</f>
        <v>55.44</v>
      </c>
      <c r="G97" s="124"/>
      <c r="H97" s="124"/>
      <c r="I97" s="151"/>
      <c r="J97" s="161"/>
      <c r="P97" s="5"/>
    </row>
    <row r="98" spans="1:16" ht="24">
      <c r="A98" s="10"/>
      <c r="B98" s="14" t="s">
        <v>164</v>
      </c>
      <c r="C98" s="89">
        <v>385</v>
      </c>
      <c r="D98" s="15" t="s">
        <v>226</v>
      </c>
      <c r="E98" s="24" t="s">
        <v>163</v>
      </c>
      <c r="F98" s="127">
        <v>144.6</v>
      </c>
      <c r="G98" s="124"/>
      <c r="H98" s="124"/>
      <c r="I98" s="151"/>
      <c r="J98" s="161"/>
      <c r="P98" s="5"/>
    </row>
    <row r="99" spans="1:16" ht="24">
      <c r="A99" s="10"/>
      <c r="B99" s="14" t="s">
        <v>166</v>
      </c>
      <c r="C99" s="89">
        <v>385</v>
      </c>
      <c r="D99" s="39" t="s">
        <v>17</v>
      </c>
      <c r="E99" s="24" t="s">
        <v>163</v>
      </c>
      <c r="F99" s="127">
        <f>(7*2)+(4*4)</f>
        <v>30</v>
      </c>
      <c r="G99" s="124"/>
      <c r="H99" s="124"/>
      <c r="I99" s="151"/>
      <c r="J99" s="161"/>
      <c r="P99" s="5"/>
    </row>
    <row r="100" spans="1:11" s="1" customFormat="1" ht="36">
      <c r="A100" s="10"/>
      <c r="B100" s="14" t="s">
        <v>168</v>
      </c>
      <c r="C100" s="89">
        <v>390</v>
      </c>
      <c r="D100" s="39" t="s">
        <v>228</v>
      </c>
      <c r="E100" s="24" t="s">
        <v>163</v>
      </c>
      <c r="F100" s="127">
        <f>7*4</f>
        <v>28</v>
      </c>
      <c r="G100" s="124"/>
      <c r="H100" s="124"/>
      <c r="I100" s="151"/>
      <c r="J100" s="163"/>
      <c r="K100" s="2"/>
    </row>
    <row r="101" spans="1:11" s="1" customFormat="1" ht="24">
      <c r="A101" s="10"/>
      <c r="B101" s="14" t="s">
        <v>184</v>
      </c>
      <c r="C101" s="89">
        <v>390</v>
      </c>
      <c r="D101" s="15" t="s">
        <v>227</v>
      </c>
      <c r="E101" s="24" t="s">
        <v>163</v>
      </c>
      <c r="F101" s="127">
        <f>19.7+30.9</f>
        <v>50.599999999999994</v>
      </c>
      <c r="G101" s="124"/>
      <c r="H101" s="124"/>
      <c r="I101" s="151"/>
      <c r="J101" s="163"/>
      <c r="K101" s="2"/>
    </row>
    <row r="102" spans="1:11" s="1" customFormat="1" ht="24">
      <c r="A102" s="10"/>
      <c r="B102" s="14" t="s">
        <v>185</v>
      </c>
      <c r="C102" s="89">
        <v>390</v>
      </c>
      <c r="D102" s="15" t="s">
        <v>229</v>
      </c>
      <c r="E102" s="24" t="s">
        <v>163</v>
      </c>
      <c r="F102" s="127">
        <f>4.2+4.2+2.55</f>
        <v>10.95</v>
      </c>
      <c r="G102" s="124"/>
      <c r="H102" s="124"/>
      <c r="I102" s="151"/>
      <c r="J102" s="163"/>
      <c r="K102" s="2"/>
    </row>
    <row r="103" spans="1:11" s="1" customFormat="1" ht="24">
      <c r="A103" s="10"/>
      <c r="B103" s="14" t="s">
        <v>186</v>
      </c>
      <c r="C103" s="89">
        <v>390</v>
      </c>
      <c r="D103" s="15" t="s">
        <v>234</v>
      </c>
      <c r="E103" s="24" t="s">
        <v>163</v>
      </c>
      <c r="F103" s="127">
        <v>5.65</v>
      </c>
      <c r="G103" s="124"/>
      <c r="H103" s="124"/>
      <c r="I103" s="151"/>
      <c r="J103" s="163"/>
      <c r="K103" s="2"/>
    </row>
    <row r="104" spans="1:11" s="1" customFormat="1" ht="24">
      <c r="A104" s="10"/>
      <c r="B104" s="14" t="s">
        <v>187</v>
      </c>
      <c r="C104" s="89">
        <v>390</v>
      </c>
      <c r="D104" s="40" t="s">
        <v>225</v>
      </c>
      <c r="E104" s="24" t="s">
        <v>163</v>
      </c>
      <c r="F104" s="127">
        <v>4.3</v>
      </c>
      <c r="G104" s="124"/>
      <c r="H104" s="124"/>
      <c r="I104" s="151"/>
      <c r="J104" s="163"/>
      <c r="K104" s="2"/>
    </row>
    <row r="105" spans="1:16" ht="48">
      <c r="A105" s="10"/>
      <c r="B105" s="14" t="s">
        <v>188</v>
      </c>
      <c r="C105" s="89">
        <v>390</v>
      </c>
      <c r="D105" s="22" t="s">
        <v>47</v>
      </c>
      <c r="E105" s="24" t="s">
        <v>88</v>
      </c>
      <c r="F105" s="127">
        <v>1</v>
      </c>
      <c r="G105" s="124"/>
      <c r="H105" s="124"/>
      <c r="I105" s="151"/>
      <c r="J105" s="161"/>
      <c r="P105" s="5"/>
    </row>
    <row r="106" spans="1:11" s="1" customFormat="1" ht="24.75" thickBot="1">
      <c r="A106" s="10"/>
      <c r="B106" s="14" t="s">
        <v>189</v>
      </c>
      <c r="C106" s="84">
        <v>390</v>
      </c>
      <c r="D106" s="41" t="s">
        <v>232</v>
      </c>
      <c r="E106" s="24" t="s">
        <v>169</v>
      </c>
      <c r="F106" s="127">
        <v>1</v>
      </c>
      <c r="G106" s="124"/>
      <c r="H106" s="124"/>
      <c r="I106" s="151"/>
      <c r="J106" s="163"/>
      <c r="K106" s="2"/>
    </row>
    <row r="107" spans="1:16" ht="12.75" thickBot="1">
      <c r="A107" s="100">
        <v>14</v>
      </c>
      <c r="B107" s="105"/>
      <c r="C107" s="106"/>
      <c r="D107" s="103" t="s">
        <v>194</v>
      </c>
      <c r="E107" s="108"/>
      <c r="F107" s="128"/>
      <c r="G107" s="129"/>
      <c r="H107" s="129"/>
      <c r="I107" s="120"/>
      <c r="J107" s="121">
        <f>'computo y presupuesto haspen'!J107</f>
        <v>2.081717901546845</v>
      </c>
      <c r="P107" s="5"/>
    </row>
    <row r="108" spans="1:16" ht="24">
      <c r="A108" s="10"/>
      <c r="B108" s="31" t="s">
        <v>156</v>
      </c>
      <c r="C108" s="84">
        <v>494</v>
      </c>
      <c r="D108" s="32" t="s">
        <v>45</v>
      </c>
      <c r="E108" s="33" t="s">
        <v>169</v>
      </c>
      <c r="F108" s="155">
        <v>1</v>
      </c>
      <c r="G108" s="124"/>
      <c r="H108" s="124"/>
      <c r="I108" s="151"/>
      <c r="J108" s="161"/>
      <c r="P108" s="5"/>
    </row>
    <row r="109" spans="1:16" ht="24">
      <c r="A109" s="10"/>
      <c r="B109" s="14" t="s">
        <v>159</v>
      </c>
      <c r="C109" s="89">
        <v>494</v>
      </c>
      <c r="D109" s="15" t="s">
        <v>231</v>
      </c>
      <c r="E109" s="24" t="s">
        <v>169</v>
      </c>
      <c r="F109" s="127">
        <v>1</v>
      </c>
      <c r="G109" s="124"/>
      <c r="H109" s="124"/>
      <c r="I109" s="151"/>
      <c r="J109" s="161"/>
      <c r="P109" s="5"/>
    </row>
    <row r="110" spans="1:16" ht="24">
      <c r="A110" s="10"/>
      <c r="B110" s="14" t="s">
        <v>161</v>
      </c>
      <c r="C110" s="89">
        <v>494</v>
      </c>
      <c r="D110" s="15" t="s">
        <v>233</v>
      </c>
      <c r="E110" s="24" t="s">
        <v>169</v>
      </c>
      <c r="F110" s="127">
        <v>1</v>
      </c>
      <c r="G110" s="124"/>
      <c r="H110" s="124"/>
      <c r="I110" s="151"/>
      <c r="J110" s="161"/>
      <c r="P110" s="5"/>
    </row>
    <row r="111" spans="1:16" ht="24">
      <c r="A111" s="10"/>
      <c r="B111" s="14" t="s">
        <v>164</v>
      </c>
      <c r="C111" s="89">
        <v>423</v>
      </c>
      <c r="D111" s="15" t="s">
        <v>230</v>
      </c>
      <c r="E111" s="24" t="s">
        <v>175</v>
      </c>
      <c r="F111" s="127">
        <f>F66+F67</f>
        <v>293.01</v>
      </c>
      <c r="G111" s="124"/>
      <c r="H111" s="124"/>
      <c r="I111" s="151"/>
      <c r="J111" s="161"/>
      <c r="P111" s="5"/>
    </row>
    <row r="112" spans="1:16" ht="12">
      <c r="A112" s="10"/>
      <c r="B112" s="14" t="s">
        <v>166</v>
      </c>
      <c r="C112" s="89">
        <v>423</v>
      </c>
      <c r="D112" s="15" t="s">
        <v>18</v>
      </c>
      <c r="E112" s="24" t="s">
        <v>175</v>
      </c>
      <c r="F112" s="127">
        <f>F52</f>
        <v>1327.2060000000001</v>
      </c>
      <c r="G112" s="124"/>
      <c r="H112" s="124"/>
      <c r="I112" s="151"/>
      <c r="J112" s="161"/>
      <c r="P112" s="5"/>
    </row>
    <row r="113" spans="1:16" ht="12">
      <c r="A113" s="10"/>
      <c r="B113" s="14" t="s">
        <v>168</v>
      </c>
      <c r="C113" s="89">
        <v>422</v>
      </c>
      <c r="D113" s="15" t="s">
        <v>277</v>
      </c>
      <c r="E113" s="24" t="s">
        <v>158</v>
      </c>
      <c r="F113" s="127">
        <v>1</v>
      </c>
      <c r="G113" s="124"/>
      <c r="H113" s="124"/>
      <c r="I113" s="151"/>
      <c r="J113" s="161"/>
      <c r="P113" s="5"/>
    </row>
    <row r="114" spans="1:16" ht="24">
      <c r="A114" s="10"/>
      <c r="B114" s="14" t="s">
        <v>184</v>
      </c>
      <c r="C114" s="89">
        <v>428</v>
      </c>
      <c r="D114" s="15" t="s">
        <v>46</v>
      </c>
      <c r="E114" s="24" t="s">
        <v>175</v>
      </c>
      <c r="F114" s="127">
        <f>F71</f>
        <v>269.11</v>
      </c>
      <c r="G114" s="124"/>
      <c r="H114" s="124"/>
      <c r="I114" s="151"/>
      <c r="J114" s="161"/>
      <c r="P114" s="5"/>
    </row>
    <row r="115" spans="1:16" ht="48.75" thickBot="1">
      <c r="A115" s="10"/>
      <c r="B115" s="14" t="s">
        <v>185</v>
      </c>
      <c r="C115" s="84">
        <v>494</v>
      </c>
      <c r="D115" s="15" t="s">
        <v>87</v>
      </c>
      <c r="E115" s="24" t="s">
        <v>158</v>
      </c>
      <c r="F115" s="127">
        <v>1</v>
      </c>
      <c r="G115" s="124"/>
      <c r="H115" s="124"/>
      <c r="I115" s="151"/>
      <c r="J115" s="161"/>
      <c r="P115" s="5"/>
    </row>
    <row r="116" spans="1:16" ht="24.75" thickBot="1">
      <c r="A116" s="109" t="s">
        <v>195</v>
      </c>
      <c r="B116" s="105"/>
      <c r="C116" s="110"/>
      <c r="D116" s="103" t="s">
        <v>126</v>
      </c>
      <c r="E116" s="108"/>
      <c r="F116" s="128"/>
      <c r="G116" s="129"/>
      <c r="H116" s="129"/>
      <c r="I116" s="120"/>
      <c r="J116" s="121">
        <f>'computo y presupuesto haspen'!J116</f>
        <v>0.7888407621408681</v>
      </c>
      <c r="P116" s="5"/>
    </row>
    <row r="117" spans="1:16" ht="60">
      <c r="A117" s="10"/>
      <c r="B117" s="31" t="s">
        <v>156</v>
      </c>
      <c r="C117" s="84">
        <v>370</v>
      </c>
      <c r="D117" s="42" t="s">
        <v>49</v>
      </c>
      <c r="E117" s="33" t="s">
        <v>88</v>
      </c>
      <c r="F117" s="155">
        <v>1</v>
      </c>
      <c r="G117" s="124"/>
      <c r="H117" s="124"/>
      <c r="I117" s="151"/>
      <c r="J117" s="161"/>
      <c r="P117" s="5"/>
    </row>
    <row r="118" spans="1:16" ht="36">
      <c r="A118" s="10"/>
      <c r="B118" s="14" t="s">
        <v>159</v>
      </c>
      <c r="C118" s="89">
        <v>370</v>
      </c>
      <c r="D118" s="22" t="s">
        <v>50</v>
      </c>
      <c r="E118" s="24" t="s">
        <v>88</v>
      </c>
      <c r="F118" s="127">
        <v>1</v>
      </c>
      <c r="G118" s="124"/>
      <c r="H118" s="124"/>
      <c r="I118" s="151"/>
      <c r="J118" s="161"/>
      <c r="P118" s="5"/>
    </row>
    <row r="119" spans="1:16" ht="20.25" customHeight="1">
      <c r="A119" s="10"/>
      <c r="B119" s="14" t="s">
        <v>161</v>
      </c>
      <c r="C119" s="89">
        <v>68</v>
      </c>
      <c r="D119" s="22" t="s">
        <v>266</v>
      </c>
      <c r="E119" s="24" t="s">
        <v>88</v>
      </c>
      <c r="F119" s="127">
        <v>1</v>
      </c>
      <c r="G119" s="124"/>
      <c r="H119" s="124"/>
      <c r="I119" s="151"/>
      <c r="J119" s="161"/>
      <c r="P119" s="5"/>
    </row>
    <row r="120" spans="1:16" ht="24">
      <c r="A120" s="10"/>
      <c r="B120" s="14" t="s">
        <v>164</v>
      </c>
      <c r="C120" s="89">
        <v>311</v>
      </c>
      <c r="D120" s="22" t="s">
        <v>273</v>
      </c>
      <c r="E120" s="24" t="s">
        <v>88</v>
      </c>
      <c r="F120" s="127">
        <v>1</v>
      </c>
      <c r="G120" s="124"/>
      <c r="H120" s="124"/>
      <c r="I120" s="151"/>
      <c r="J120" s="161"/>
      <c r="P120" s="5"/>
    </row>
    <row r="121" spans="1:16" ht="36">
      <c r="A121" s="10"/>
      <c r="B121" s="14" t="s">
        <v>166</v>
      </c>
      <c r="C121" s="89">
        <v>139</v>
      </c>
      <c r="D121" s="22" t="s">
        <v>48</v>
      </c>
      <c r="E121" s="24" t="s">
        <v>88</v>
      </c>
      <c r="F121" s="127">
        <v>15</v>
      </c>
      <c r="G121" s="124"/>
      <c r="H121" s="124"/>
      <c r="I121" s="151"/>
      <c r="J121" s="161"/>
      <c r="P121" s="5"/>
    </row>
    <row r="122" spans="1:16" ht="60">
      <c r="A122" s="10"/>
      <c r="B122" s="14" t="s">
        <v>168</v>
      </c>
      <c r="C122" s="89">
        <v>101</v>
      </c>
      <c r="D122" s="22" t="s">
        <v>55</v>
      </c>
      <c r="E122" s="24" t="s">
        <v>175</v>
      </c>
      <c r="F122" s="127">
        <v>10.55</v>
      </c>
      <c r="G122" s="124"/>
      <c r="H122" s="124"/>
      <c r="I122" s="151"/>
      <c r="J122" s="161"/>
      <c r="P122" s="5"/>
    </row>
    <row r="123" spans="1:16" ht="60">
      <c r="A123" s="10"/>
      <c r="B123" s="14" t="s">
        <v>184</v>
      </c>
      <c r="C123" s="89">
        <v>101</v>
      </c>
      <c r="D123" s="22" t="s">
        <v>56</v>
      </c>
      <c r="E123" s="24" t="s">
        <v>175</v>
      </c>
      <c r="F123" s="127">
        <v>5.91</v>
      </c>
      <c r="G123" s="124"/>
      <c r="H123" s="124"/>
      <c r="I123" s="151"/>
      <c r="J123" s="161"/>
      <c r="P123" s="5"/>
    </row>
    <row r="124" spans="1:16" ht="48">
      <c r="A124" s="10"/>
      <c r="B124" s="14" t="s">
        <v>185</v>
      </c>
      <c r="C124" s="89">
        <v>101</v>
      </c>
      <c r="D124" s="22" t="s">
        <v>57</v>
      </c>
      <c r="E124" s="24" t="s">
        <v>175</v>
      </c>
      <c r="F124" s="127">
        <v>8.31</v>
      </c>
      <c r="G124" s="124"/>
      <c r="H124" s="124"/>
      <c r="I124" s="151"/>
      <c r="J124" s="161"/>
      <c r="P124" s="5"/>
    </row>
    <row r="125" spans="1:16" ht="60">
      <c r="A125" s="10"/>
      <c r="B125" s="14" t="s">
        <v>186</v>
      </c>
      <c r="C125" s="89">
        <v>101</v>
      </c>
      <c r="D125" s="22" t="s">
        <v>58</v>
      </c>
      <c r="E125" s="24" t="s">
        <v>175</v>
      </c>
      <c r="F125" s="127">
        <v>12.06</v>
      </c>
      <c r="G125" s="124"/>
      <c r="H125" s="124"/>
      <c r="I125" s="151"/>
      <c r="J125" s="161"/>
      <c r="P125" s="5"/>
    </row>
    <row r="126" spans="1:16" ht="24.75" thickBot="1">
      <c r="A126" s="10"/>
      <c r="B126" s="14" t="s">
        <v>187</v>
      </c>
      <c r="C126" s="84">
        <v>507</v>
      </c>
      <c r="D126" s="22" t="s">
        <v>149</v>
      </c>
      <c r="E126" s="24" t="s">
        <v>175</v>
      </c>
      <c r="F126" s="127">
        <v>166.9</v>
      </c>
      <c r="G126" s="124"/>
      <c r="H126" s="124"/>
      <c r="I126" s="151"/>
      <c r="J126" s="161"/>
      <c r="P126" s="5"/>
    </row>
    <row r="127" spans="1:16" ht="12.75" thickBot="1">
      <c r="A127" s="100">
        <v>16</v>
      </c>
      <c r="B127" s="105"/>
      <c r="C127" s="106"/>
      <c r="D127" s="103" t="s">
        <v>196</v>
      </c>
      <c r="E127" s="108"/>
      <c r="F127" s="128"/>
      <c r="G127" s="129"/>
      <c r="H127" s="129"/>
      <c r="I127" s="120"/>
      <c r="J127" s="121">
        <f>'computo y presupuesto haspen'!J127</f>
        <v>2.096282386143546</v>
      </c>
      <c r="P127" s="5"/>
    </row>
    <row r="128" spans="1:16" ht="12">
      <c r="A128" s="43"/>
      <c r="B128" s="44" t="s">
        <v>73</v>
      </c>
      <c r="C128" s="69"/>
      <c r="D128" s="45" t="s">
        <v>197</v>
      </c>
      <c r="E128" s="26"/>
      <c r="F128" s="164"/>
      <c r="G128" s="165"/>
      <c r="H128" s="165"/>
      <c r="I128" s="125"/>
      <c r="J128" s="166"/>
      <c r="P128" s="5"/>
    </row>
    <row r="129" spans="1:16" ht="84">
      <c r="A129" s="43"/>
      <c r="B129" s="14" t="s">
        <v>156</v>
      </c>
      <c r="C129" s="89">
        <v>271</v>
      </c>
      <c r="D129" s="22" t="s">
        <v>112</v>
      </c>
      <c r="E129" s="24" t="s">
        <v>163</v>
      </c>
      <c r="F129" s="167">
        <v>59</v>
      </c>
      <c r="G129" s="124"/>
      <c r="H129" s="124"/>
      <c r="I129" s="125"/>
      <c r="J129" s="166"/>
      <c r="P129" s="5"/>
    </row>
    <row r="130" spans="1:16" ht="84">
      <c r="A130" s="43"/>
      <c r="B130" s="14" t="s">
        <v>159</v>
      </c>
      <c r="C130" s="89">
        <v>271</v>
      </c>
      <c r="D130" s="22" t="s">
        <v>81</v>
      </c>
      <c r="E130" s="24" t="s">
        <v>163</v>
      </c>
      <c r="F130" s="167">
        <f>4.3+3.2+15.2+16+4+4.7+11.5+4.9</f>
        <v>63.800000000000004</v>
      </c>
      <c r="G130" s="124"/>
      <c r="H130" s="124"/>
      <c r="I130" s="125"/>
      <c r="J130" s="166"/>
      <c r="P130" s="5"/>
    </row>
    <row r="131" spans="1:16" ht="72">
      <c r="A131" s="43"/>
      <c r="B131" s="14" t="s">
        <v>161</v>
      </c>
      <c r="C131" s="89">
        <v>271</v>
      </c>
      <c r="D131" s="22" t="s">
        <v>132</v>
      </c>
      <c r="E131" s="24" t="s">
        <v>163</v>
      </c>
      <c r="F131" s="167">
        <f>3.4+7.5+2+9+5</f>
        <v>26.9</v>
      </c>
      <c r="G131" s="124"/>
      <c r="H131" s="124"/>
      <c r="I131" s="125"/>
      <c r="J131" s="166"/>
      <c r="P131" s="5"/>
    </row>
    <row r="132" spans="1:16" ht="60">
      <c r="A132" s="43"/>
      <c r="B132" s="14" t="s">
        <v>164</v>
      </c>
      <c r="C132" s="89">
        <v>271</v>
      </c>
      <c r="D132" s="22" t="s">
        <v>110</v>
      </c>
      <c r="E132" s="24" t="s">
        <v>163</v>
      </c>
      <c r="F132" s="167">
        <v>5</v>
      </c>
      <c r="G132" s="124"/>
      <c r="H132" s="124"/>
      <c r="I132" s="125"/>
      <c r="J132" s="166"/>
      <c r="P132" s="5"/>
    </row>
    <row r="133" spans="1:16" ht="60">
      <c r="A133" s="43"/>
      <c r="B133" s="14" t="s">
        <v>166</v>
      </c>
      <c r="C133" s="89">
        <v>271</v>
      </c>
      <c r="D133" s="22" t="s">
        <v>111</v>
      </c>
      <c r="E133" s="24" t="s">
        <v>163</v>
      </c>
      <c r="F133" s="167">
        <f>27*3</f>
        <v>81</v>
      </c>
      <c r="G133" s="124"/>
      <c r="H133" s="124"/>
      <c r="I133" s="125"/>
      <c r="J133" s="166"/>
      <c r="P133" s="5"/>
    </row>
    <row r="134" spans="1:16" ht="48">
      <c r="A134" s="43"/>
      <c r="B134" s="14" t="s">
        <v>168</v>
      </c>
      <c r="C134" s="89">
        <v>271</v>
      </c>
      <c r="D134" s="15" t="s">
        <v>157</v>
      </c>
      <c r="E134" s="24" t="s">
        <v>183</v>
      </c>
      <c r="F134" s="127">
        <v>7</v>
      </c>
      <c r="G134" s="124"/>
      <c r="H134" s="124"/>
      <c r="I134" s="125"/>
      <c r="J134" s="166"/>
      <c r="P134" s="5"/>
    </row>
    <row r="135" spans="1:16" ht="12">
      <c r="A135" s="43"/>
      <c r="B135" s="46" t="s">
        <v>74</v>
      </c>
      <c r="C135" s="89"/>
      <c r="D135" s="47" t="s">
        <v>198</v>
      </c>
      <c r="E135" s="24"/>
      <c r="F135" s="127"/>
      <c r="G135" s="124"/>
      <c r="H135" s="168"/>
      <c r="I135" s="125"/>
      <c r="J135" s="166"/>
      <c r="P135" s="5"/>
    </row>
    <row r="136" spans="1:16" ht="96">
      <c r="A136" s="43"/>
      <c r="B136" s="14" t="s">
        <v>156</v>
      </c>
      <c r="C136" s="89">
        <v>261</v>
      </c>
      <c r="D136" s="15" t="s">
        <v>9</v>
      </c>
      <c r="E136" s="24" t="s">
        <v>163</v>
      </c>
      <c r="F136" s="127">
        <v>45</v>
      </c>
      <c r="G136" s="124"/>
      <c r="H136" s="124"/>
      <c r="I136" s="125"/>
      <c r="J136" s="166"/>
      <c r="P136" s="5"/>
    </row>
    <row r="137" spans="1:16" ht="84">
      <c r="A137" s="43"/>
      <c r="B137" s="14" t="s">
        <v>159</v>
      </c>
      <c r="C137" s="89">
        <v>261</v>
      </c>
      <c r="D137" s="15" t="s">
        <v>89</v>
      </c>
      <c r="E137" s="24" t="s">
        <v>163</v>
      </c>
      <c r="F137" s="127">
        <v>14</v>
      </c>
      <c r="G137" s="124"/>
      <c r="H137" s="124"/>
      <c r="I137" s="125"/>
      <c r="J137" s="166"/>
      <c r="P137" s="5"/>
    </row>
    <row r="138" spans="1:16" ht="84">
      <c r="A138" s="43"/>
      <c r="B138" s="14" t="s">
        <v>161</v>
      </c>
      <c r="C138" s="89">
        <v>261</v>
      </c>
      <c r="D138" s="15" t="s">
        <v>8</v>
      </c>
      <c r="E138" s="24" t="s">
        <v>163</v>
      </c>
      <c r="F138" s="127">
        <v>67</v>
      </c>
      <c r="G138" s="124"/>
      <c r="H138" s="124"/>
      <c r="I138" s="125"/>
      <c r="J138" s="166"/>
      <c r="P138" s="5"/>
    </row>
    <row r="139" spans="1:16" ht="84">
      <c r="A139" s="43"/>
      <c r="B139" s="14" t="s">
        <v>164</v>
      </c>
      <c r="C139" s="89">
        <v>261</v>
      </c>
      <c r="D139" s="15" t="s">
        <v>90</v>
      </c>
      <c r="E139" s="24" t="s">
        <v>163</v>
      </c>
      <c r="F139" s="127">
        <v>189</v>
      </c>
      <c r="G139" s="124"/>
      <c r="H139" s="124"/>
      <c r="I139" s="125"/>
      <c r="J139" s="166"/>
      <c r="P139" s="5"/>
    </row>
    <row r="140" spans="1:16" ht="84">
      <c r="A140" s="43"/>
      <c r="B140" s="14" t="s">
        <v>166</v>
      </c>
      <c r="C140" s="89">
        <v>261</v>
      </c>
      <c r="D140" s="15" t="s">
        <v>104</v>
      </c>
      <c r="E140" s="24" t="s">
        <v>163</v>
      </c>
      <c r="F140" s="127">
        <v>12</v>
      </c>
      <c r="G140" s="124"/>
      <c r="H140" s="124"/>
      <c r="I140" s="125"/>
      <c r="J140" s="166"/>
      <c r="P140" s="5"/>
    </row>
    <row r="141" spans="1:16" ht="84">
      <c r="A141" s="43"/>
      <c r="B141" s="14" t="s">
        <v>168</v>
      </c>
      <c r="C141" s="89">
        <v>261</v>
      </c>
      <c r="D141" s="15" t="s">
        <v>105</v>
      </c>
      <c r="E141" s="24" t="s">
        <v>163</v>
      </c>
      <c r="F141" s="127">
        <v>138</v>
      </c>
      <c r="G141" s="124"/>
      <c r="H141" s="124"/>
      <c r="I141" s="125"/>
      <c r="J141" s="166"/>
      <c r="P141" s="5"/>
    </row>
    <row r="142" spans="1:16" ht="84">
      <c r="A142" s="43"/>
      <c r="B142" s="14" t="s">
        <v>184</v>
      </c>
      <c r="C142" s="89">
        <v>261</v>
      </c>
      <c r="D142" s="15" t="s">
        <v>106</v>
      </c>
      <c r="E142" s="24" t="s">
        <v>163</v>
      </c>
      <c r="F142" s="127">
        <v>36</v>
      </c>
      <c r="G142" s="124"/>
      <c r="H142" s="124"/>
      <c r="I142" s="125"/>
      <c r="J142" s="166"/>
      <c r="P142" s="5"/>
    </row>
    <row r="143" spans="1:16" ht="12">
      <c r="A143" s="43"/>
      <c r="B143" s="46" t="s">
        <v>107</v>
      </c>
      <c r="C143" s="89"/>
      <c r="D143" s="48" t="s">
        <v>200</v>
      </c>
      <c r="E143" s="49"/>
      <c r="F143" s="169"/>
      <c r="G143" s="124"/>
      <c r="H143" s="170"/>
      <c r="I143" s="171"/>
      <c r="J143" s="172"/>
      <c r="P143" s="5"/>
    </row>
    <row r="144" spans="1:16" ht="60">
      <c r="A144" s="43"/>
      <c r="B144" s="14" t="s">
        <v>156</v>
      </c>
      <c r="C144" s="89">
        <v>315</v>
      </c>
      <c r="D144" s="15" t="s">
        <v>52</v>
      </c>
      <c r="E144" s="24" t="s">
        <v>183</v>
      </c>
      <c r="F144" s="127">
        <v>10</v>
      </c>
      <c r="G144" s="124"/>
      <c r="H144" s="124"/>
      <c r="I144" s="201"/>
      <c r="J144" s="153"/>
      <c r="P144" s="5"/>
    </row>
    <row r="145" spans="1:16" ht="48">
      <c r="A145" s="43"/>
      <c r="B145" s="14" t="s">
        <v>159</v>
      </c>
      <c r="C145" s="89">
        <v>315</v>
      </c>
      <c r="D145" s="15" t="s">
        <v>53</v>
      </c>
      <c r="E145" s="24" t="s">
        <v>183</v>
      </c>
      <c r="F145" s="127">
        <v>2</v>
      </c>
      <c r="G145" s="124"/>
      <c r="H145" s="124"/>
      <c r="I145" s="201"/>
      <c r="J145" s="161"/>
      <c r="P145" s="5"/>
    </row>
    <row r="146" spans="1:16" ht="48">
      <c r="A146" s="43"/>
      <c r="B146" s="14" t="s">
        <v>161</v>
      </c>
      <c r="C146" s="89">
        <v>315</v>
      </c>
      <c r="D146" s="15" t="s">
        <v>59</v>
      </c>
      <c r="E146" s="24" t="s">
        <v>183</v>
      </c>
      <c r="F146" s="127">
        <v>4</v>
      </c>
      <c r="G146" s="124"/>
      <c r="H146" s="124"/>
      <c r="I146" s="201"/>
      <c r="J146" s="161"/>
      <c r="P146" s="5"/>
    </row>
    <row r="147" spans="1:16" ht="60">
      <c r="A147" s="43"/>
      <c r="B147" s="14" t="s">
        <v>164</v>
      </c>
      <c r="C147" s="89">
        <v>315</v>
      </c>
      <c r="D147" s="15" t="s">
        <v>60</v>
      </c>
      <c r="E147" s="24" t="s">
        <v>183</v>
      </c>
      <c r="F147" s="127">
        <v>2</v>
      </c>
      <c r="G147" s="124"/>
      <c r="H147" s="124"/>
      <c r="I147" s="201"/>
      <c r="J147" s="161"/>
      <c r="P147" s="5"/>
    </row>
    <row r="148" spans="1:16" ht="48">
      <c r="A148" s="43"/>
      <c r="B148" s="14" t="s">
        <v>166</v>
      </c>
      <c r="C148" s="89">
        <v>315</v>
      </c>
      <c r="D148" s="15" t="s">
        <v>54</v>
      </c>
      <c r="E148" s="24" t="s">
        <v>183</v>
      </c>
      <c r="F148" s="127">
        <v>2</v>
      </c>
      <c r="G148" s="124"/>
      <c r="H148" s="124"/>
      <c r="I148" s="151"/>
      <c r="J148" s="161"/>
      <c r="P148" s="5"/>
    </row>
    <row r="149" spans="1:16" ht="60">
      <c r="A149" s="43"/>
      <c r="B149" s="14" t="s">
        <v>168</v>
      </c>
      <c r="C149" s="89">
        <v>315</v>
      </c>
      <c r="D149" s="15" t="s">
        <v>61</v>
      </c>
      <c r="E149" s="24" t="s">
        <v>183</v>
      </c>
      <c r="F149" s="127">
        <v>4</v>
      </c>
      <c r="G149" s="124"/>
      <c r="H149" s="124"/>
      <c r="I149" s="201"/>
      <c r="J149" s="161"/>
      <c r="P149" s="5"/>
    </row>
    <row r="150" spans="1:16" ht="60">
      <c r="A150" s="43"/>
      <c r="B150" s="14" t="s">
        <v>184</v>
      </c>
      <c r="C150" s="89">
        <v>315</v>
      </c>
      <c r="D150" s="15" t="s">
        <v>62</v>
      </c>
      <c r="E150" s="24" t="s">
        <v>183</v>
      </c>
      <c r="F150" s="127">
        <v>4</v>
      </c>
      <c r="G150" s="124"/>
      <c r="H150" s="124"/>
      <c r="I150" s="201"/>
      <c r="J150" s="161"/>
      <c r="P150" s="5"/>
    </row>
    <row r="151" spans="1:16" ht="144">
      <c r="A151" s="43"/>
      <c r="B151" s="14" t="s">
        <v>185</v>
      </c>
      <c r="C151" s="89">
        <v>315</v>
      </c>
      <c r="D151" s="15" t="s">
        <v>23</v>
      </c>
      <c r="E151" s="24" t="s">
        <v>183</v>
      </c>
      <c r="F151" s="127">
        <v>1</v>
      </c>
      <c r="G151" s="124"/>
      <c r="H151" s="124"/>
      <c r="I151" s="151"/>
      <c r="J151" s="153"/>
      <c r="K151" s="7"/>
      <c r="P151" s="5"/>
    </row>
    <row r="152" spans="1:16" ht="60">
      <c r="A152" s="10"/>
      <c r="B152" s="14" t="s">
        <v>186</v>
      </c>
      <c r="C152" s="89">
        <v>315</v>
      </c>
      <c r="D152" s="22" t="s">
        <v>82</v>
      </c>
      <c r="E152" s="24" t="s">
        <v>88</v>
      </c>
      <c r="F152" s="127">
        <v>1</v>
      </c>
      <c r="G152" s="124"/>
      <c r="H152" s="124"/>
      <c r="I152" s="151"/>
      <c r="J152" s="161"/>
      <c r="P152" s="5"/>
    </row>
    <row r="153" spans="1:11" s="1" customFormat="1" ht="36">
      <c r="A153" s="43"/>
      <c r="B153" s="14" t="s">
        <v>187</v>
      </c>
      <c r="C153" s="89">
        <v>116</v>
      </c>
      <c r="D153" s="15" t="s">
        <v>24</v>
      </c>
      <c r="E153" s="24" t="s">
        <v>183</v>
      </c>
      <c r="F153" s="127">
        <f>F144+F151</f>
        <v>11</v>
      </c>
      <c r="G153" s="124"/>
      <c r="H153" s="124"/>
      <c r="I153" s="151"/>
      <c r="J153" s="146"/>
      <c r="K153" s="2"/>
    </row>
    <row r="154" spans="1:11" s="1" customFormat="1" ht="36">
      <c r="A154" s="43"/>
      <c r="B154" s="14" t="s">
        <v>188</v>
      </c>
      <c r="C154" s="89">
        <v>116</v>
      </c>
      <c r="D154" s="15" t="s">
        <v>25</v>
      </c>
      <c r="E154" s="24" t="s">
        <v>183</v>
      </c>
      <c r="F154" s="127">
        <v>11</v>
      </c>
      <c r="G154" s="124"/>
      <c r="H154" s="124"/>
      <c r="I154" s="151"/>
      <c r="J154" s="146"/>
      <c r="K154" s="2"/>
    </row>
    <row r="155" spans="1:11" s="1" customFormat="1" ht="36">
      <c r="A155" s="43"/>
      <c r="B155" s="14" t="s">
        <v>189</v>
      </c>
      <c r="C155" s="89">
        <v>116</v>
      </c>
      <c r="D155" s="15" t="s">
        <v>26</v>
      </c>
      <c r="E155" s="24" t="s">
        <v>183</v>
      </c>
      <c r="F155" s="127">
        <v>11</v>
      </c>
      <c r="G155" s="124"/>
      <c r="H155" s="124"/>
      <c r="I155" s="151"/>
      <c r="J155" s="146"/>
      <c r="K155" s="2"/>
    </row>
    <row r="156" spans="1:16" ht="12">
      <c r="A156" s="43"/>
      <c r="B156" s="14" t="s">
        <v>190</v>
      </c>
      <c r="C156" s="89">
        <v>116</v>
      </c>
      <c r="D156" s="15" t="s">
        <v>75</v>
      </c>
      <c r="E156" s="24" t="s">
        <v>183</v>
      </c>
      <c r="F156" s="127">
        <v>15</v>
      </c>
      <c r="G156" s="124"/>
      <c r="H156" s="124"/>
      <c r="I156" s="151"/>
      <c r="J156" s="153"/>
      <c r="K156" s="7"/>
      <c r="P156" s="5"/>
    </row>
    <row r="157" spans="1:16" ht="12" customHeight="1">
      <c r="A157" s="43"/>
      <c r="B157" s="46" t="s">
        <v>76</v>
      </c>
      <c r="C157" s="89"/>
      <c r="D157" s="47" t="s">
        <v>201</v>
      </c>
      <c r="E157" s="24"/>
      <c r="F157" s="127"/>
      <c r="G157" s="124"/>
      <c r="H157" s="124"/>
      <c r="I157" s="173"/>
      <c r="J157" s="174"/>
      <c r="K157" s="7"/>
      <c r="P157" s="5"/>
    </row>
    <row r="158" spans="1:16" ht="72">
      <c r="A158" s="43"/>
      <c r="B158" s="34" t="s">
        <v>156</v>
      </c>
      <c r="C158" s="89">
        <v>271</v>
      </c>
      <c r="D158" s="27" t="s">
        <v>77</v>
      </c>
      <c r="E158" s="35" t="s">
        <v>163</v>
      </c>
      <c r="F158" s="175">
        <v>25</v>
      </c>
      <c r="G158" s="124"/>
      <c r="H158" s="140"/>
      <c r="I158" s="151"/>
      <c r="J158" s="161"/>
      <c r="P158" s="5"/>
    </row>
    <row r="159" spans="1:16" ht="12">
      <c r="A159" s="10"/>
      <c r="B159" s="50" t="s">
        <v>123</v>
      </c>
      <c r="C159" s="89"/>
      <c r="D159" s="47" t="s">
        <v>124</v>
      </c>
      <c r="E159" s="24"/>
      <c r="F159" s="127"/>
      <c r="G159" s="124"/>
      <c r="H159" s="168"/>
      <c r="I159" s="125"/>
      <c r="J159" s="126"/>
      <c r="P159" s="5"/>
    </row>
    <row r="160" spans="1:11" s="1" customFormat="1" ht="84">
      <c r="A160" s="10"/>
      <c r="B160" s="19" t="s">
        <v>156</v>
      </c>
      <c r="C160" s="89">
        <v>264</v>
      </c>
      <c r="D160" s="20" t="s">
        <v>63</v>
      </c>
      <c r="E160" s="29" t="s">
        <v>158</v>
      </c>
      <c r="F160" s="147">
        <v>1</v>
      </c>
      <c r="G160" s="124"/>
      <c r="H160" s="138"/>
      <c r="I160" s="125"/>
      <c r="J160" s="176"/>
      <c r="K160" s="2"/>
    </row>
    <row r="161" spans="1:11" s="1" customFormat="1" ht="72.75" thickBot="1">
      <c r="A161" s="43"/>
      <c r="B161" s="52" t="s">
        <v>159</v>
      </c>
      <c r="C161" s="69">
        <v>262</v>
      </c>
      <c r="D161" s="40" t="s">
        <v>0</v>
      </c>
      <c r="E161" s="87" t="s">
        <v>183</v>
      </c>
      <c r="F161" s="143">
        <v>2</v>
      </c>
      <c r="G161" s="124"/>
      <c r="H161" s="141"/>
      <c r="I161" s="151"/>
      <c r="J161" s="163"/>
      <c r="K161" s="2"/>
    </row>
    <row r="162" spans="1:16" ht="12.75" thickBot="1">
      <c r="A162" s="111">
        <v>17</v>
      </c>
      <c r="B162" s="105"/>
      <c r="C162" s="107"/>
      <c r="D162" s="112" t="s">
        <v>202</v>
      </c>
      <c r="E162" s="113"/>
      <c r="F162" s="177"/>
      <c r="G162" s="178"/>
      <c r="H162" s="178"/>
      <c r="I162" s="120"/>
      <c r="J162" s="121">
        <f>'computo y presupuesto haspen'!J162</f>
        <v>0.2976915118700599</v>
      </c>
      <c r="P162" s="5"/>
    </row>
    <row r="163" spans="1:16" ht="48">
      <c r="A163" s="43"/>
      <c r="B163" s="11" t="s">
        <v>156</v>
      </c>
      <c r="C163" s="69">
        <v>330</v>
      </c>
      <c r="D163" s="12" t="s">
        <v>28</v>
      </c>
      <c r="E163" s="26" t="s">
        <v>183</v>
      </c>
      <c r="F163" s="122">
        <v>9</v>
      </c>
      <c r="G163" s="124"/>
      <c r="H163" s="124"/>
      <c r="I163" s="125"/>
      <c r="J163" s="166"/>
      <c r="P163" s="5"/>
    </row>
    <row r="164" spans="1:16" ht="24">
      <c r="A164" s="43"/>
      <c r="B164" s="14" t="s">
        <v>159</v>
      </c>
      <c r="C164" s="89">
        <v>330</v>
      </c>
      <c r="D164" s="15" t="s">
        <v>27</v>
      </c>
      <c r="E164" s="24" t="s">
        <v>183</v>
      </c>
      <c r="F164" s="127">
        <v>1</v>
      </c>
      <c r="G164" s="124"/>
      <c r="H164" s="124"/>
      <c r="I164" s="125"/>
      <c r="J164" s="166"/>
      <c r="P164" s="5"/>
    </row>
    <row r="165" spans="1:16" ht="72">
      <c r="A165" s="43"/>
      <c r="B165" s="14" t="s">
        <v>161</v>
      </c>
      <c r="C165" s="89">
        <v>331</v>
      </c>
      <c r="D165" s="15" t="s">
        <v>29</v>
      </c>
      <c r="E165" s="24" t="s">
        <v>183</v>
      </c>
      <c r="F165" s="127">
        <v>5</v>
      </c>
      <c r="G165" s="124"/>
      <c r="H165" s="124"/>
      <c r="I165" s="125"/>
      <c r="J165" s="166"/>
      <c r="P165" s="5"/>
    </row>
    <row r="166" spans="1:16" ht="36">
      <c r="A166" s="43"/>
      <c r="B166" s="14" t="s">
        <v>164</v>
      </c>
      <c r="C166" s="89">
        <v>331</v>
      </c>
      <c r="D166" s="15" t="s">
        <v>98</v>
      </c>
      <c r="E166" s="24" t="s">
        <v>163</v>
      </c>
      <c r="F166" s="127">
        <v>89</v>
      </c>
      <c r="G166" s="124"/>
      <c r="H166" s="124"/>
      <c r="I166" s="125"/>
      <c r="J166" s="166"/>
      <c r="P166" s="5"/>
    </row>
    <row r="167" spans="1:16" ht="36.75" thickBot="1">
      <c r="A167" s="10"/>
      <c r="B167" s="14" t="s">
        <v>166</v>
      </c>
      <c r="C167" s="84">
        <v>31</v>
      </c>
      <c r="D167" s="15" t="s">
        <v>136</v>
      </c>
      <c r="E167" s="24" t="s">
        <v>163</v>
      </c>
      <c r="F167" s="127">
        <v>15</v>
      </c>
      <c r="G167" s="124"/>
      <c r="H167" s="124"/>
      <c r="I167" s="125"/>
      <c r="J167" s="166"/>
      <c r="P167" s="5"/>
    </row>
    <row r="168" spans="1:16" ht="12.75" thickBot="1">
      <c r="A168" s="100">
        <v>18</v>
      </c>
      <c r="B168" s="105"/>
      <c r="C168" s="106"/>
      <c r="D168" s="103" t="s">
        <v>121</v>
      </c>
      <c r="E168" s="108"/>
      <c r="F168" s="128"/>
      <c r="G168" s="129"/>
      <c r="H168" s="129"/>
      <c r="I168" s="120"/>
      <c r="J168" s="121">
        <f>'computo y presupuesto haspen'!J168</f>
        <v>1.897981440497899</v>
      </c>
      <c r="P168" s="5"/>
    </row>
    <row r="169" spans="1:11" s="1" customFormat="1" ht="12.75">
      <c r="A169" s="10"/>
      <c r="B169" s="44" t="s">
        <v>73</v>
      </c>
      <c r="C169" s="84"/>
      <c r="D169" s="45" t="s">
        <v>125</v>
      </c>
      <c r="E169" s="26"/>
      <c r="F169" s="122"/>
      <c r="G169" s="179"/>
      <c r="H169" s="180"/>
      <c r="I169" s="136"/>
      <c r="J169" s="176"/>
      <c r="K169" s="2"/>
    </row>
    <row r="170" spans="1:16" ht="84">
      <c r="A170" s="10"/>
      <c r="B170" s="19" t="s">
        <v>156</v>
      </c>
      <c r="C170" s="89">
        <v>280</v>
      </c>
      <c r="D170" s="20" t="s">
        <v>259</v>
      </c>
      <c r="E170" s="29" t="s">
        <v>260</v>
      </c>
      <c r="F170" s="147">
        <v>7</v>
      </c>
      <c r="G170" s="124"/>
      <c r="H170" s="124"/>
      <c r="I170" s="125"/>
      <c r="J170" s="166"/>
      <c r="P170" s="5"/>
    </row>
    <row r="171" spans="1:16" ht="36">
      <c r="A171" s="10"/>
      <c r="B171" s="14" t="s">
        <v>159</v>
      </c>
      <c r="C171" s="89">
        <v>280</v>
      </c>
      <c r="D171" s="15" t="s">
        <v>100</v>
      </c>
      <c r="E171" s="24" t="s">
        <v>183</v>
      </c>
      <c r="F171" s="127">
        <v>7</v>
      </c>
      <c r="G171" s="124"/>
      <c r="H171" s="124"/>
      <c r="I171" s="125"/>
      <c r="J171" s="166"/>
      <c r="P171" s="5"/>
    </row>
    <row r="172" spans="1:16" ht="24">
      <c r="A172" s="10"/>
      <c r="B172" s="14" t="s">
        <v>161</v>
      </c>
      <c r="C172" s="89">
        <v>280</v>
      </c>
      <c r="D172" s="15" t="s">
        <v>268</v>
      </c>
      <c r="E172" s="24" t="s">
        <v>183</v>
      </c>
      <c r="F172" s="127">
        <v>1</v>
      </c>
      <c r="G172" s="124"/>
      <c r="H172" s="124"/>
      <c r="I172" s="125"/>
      <c r="J172" s="166"/>
      <c r="P172" s="5"/>
    </row>
    <row r="173" spans="1:16" ht="96">
      <c r="A173" s="10"/>
      <c r="B173" s="34" t="s">
        <v>164</v>
      </c>
      <c r="C173" s="89">
        <v>280</v>
      </c>
      <c r="D173" s="39" t="s">
        <v>237</v>
      </c>
      <c r="E173" s="35" t="s">
        <v>183</v>
      </c>
      <c r="F173" s="154">
        <v>1</v>
      </c>
      <c r="G173" s="124"/>
      <c r="H173" s="124"/>
      <c r="I173" s="125"/>
      <c r="J173" s="166"/>
      <c r="P173" s="5"/>
    </row>
    <row r="174" spans="1:16" ht="60">
      <c r="A174" s="10"/>
      <c r="B174" s="14" t="s">
        <v>166</v>
      </c>
      <c r="C174" s="89">
        <v>280</v>
      </c>
      <c r="D174" s="15" t="s">
        <v>262</v>
      </c>
      <c r="E174" s="24" t="s">
        <v>183</v>
      </c>
      <c r="F174" s="127">
        <v>1</v>
      </c>
      <c r="G174" s="124"/>
      <c r="H174" s="124"/>
      <c r="I174" s="125"/>
      <c r="J174" s="166"/>
      <c r="P174" s="5"/>
    </row>
    <row r="175" spans="1:16" ht="60">
      <c r="A175" s="10"/>
      <c r="B175" s="14" t="s">
        <v>168</v>
      </c>
      <c r="C175" s="89">
        <v>289</v>
      </c>
      <c r="D175" s="15" t="s">
        <v>267</v>
      </c>
      <c r="E175" s="24" t="s">
        <v>183</v>
      </c>
      <c r="F175" s="127">
        <v>1</v>
      </c>
      <c r="G175" s="124"/>
      <c r="H175" s="124"/>
      <c r="I175" s="125"/>
      <c r="J175" s="166"/>
      <c r="P175" s="5"/>
    </row>
    <row r="176" spans="1:16" ht="12">
      <c r="A176" s="10"/>
      <c r="B176" s="14" t="s">
        <v>184</v>
      </c>
      <c r="C176" s="89">
        <v>385</v>
      </c>
      <c r="D176" s="15" t="s">
        <v>83</v>
      </c>
      <c r="E176" s="24" t="s">
        <v>183</v>
      </c>
      <c r="F176" s="127">
        <v>4</v>
      </c>
      <c r="G176" s="124"/>
      <c r="H176" s="124"/>
      <c r="I176" s="125"/>
      <c r="J176" s="166"/>
      <c r="P176" s="5"/>
    </row>
    <row r="177" spans="1:10" s="1" customFormat="1" ht="108">
      <c r="A177" s="10"/>
      <c r="B177" s="14" t="s">
        <v>185</v>
      </c>
      <c r="C177" s="89">
        <v>294</v>
      </c>
      <c r="D177" s="15" t="s">
        <v>70</v>
      </c>
      <c r="E177" s="24" t="s">
        <v>183</v>
      </c>
      <c r="F177" s="127">
        <v>1</v>
      </c>
      <c r="G177" s="124"/>
      <c r="H177" s="124"/>
      <c r="I177" s="125"/>
      <c r="J177" s="182"/>
    </row>
    <row r="178" spans="1:10" s="1" customFormat="1" ht="12.75">
      <c r="A178" s="10"/>
      <c r="B178" s="46" t="s">
        <v>74</v>
      </c>
      <c r="C178" s="89"/>
      <c r="D178" s="47" t="s">
        <v>269</v>
      </c>
      <c r="E178" s="24"/>
      <c r="F178" s="127"/>
      <c r="G178" s="124"/>
      <c r="H178" s="168"/>
      <c r="I178" s="125"/>
      <c r="J178" s="182"/>
    </row>
    <row r="179" spans="1:16" ht="36">
      <c r="A179" s="10"/>
      <c r="B179" s="14" t="s">
        <v>156</v>
      </c>
      <c r="C179" s="89">
        <v>295</v>
      </c>
      <c r="D179" s="22" t="s">
        <v>69</v>
      </c>
      <c r="E179" s="24" t="s">
        <v>183</v>
      </c>
      <c r="F179" s="127">
        <v>2</v>
      </c>
      <c r="G179" s="124"/>
      <c r="H179" s="124"/>
      <c r="I179" s="125"/>
      <c r="J179" s="166"/>
      <c r="P179" s="5"/>
    </row>
    <row r="180" spans="1:16" ht="48">
      <c r="A180" s="10"/>
      <c r="B180" s="14" t="s">
        <v>159</v>
      </c>
      <c r="C180" s="89">
        <v>295</v>
      </c>
      <c r="D180" s="15" t="s">
        <v>235</v>
      </c>
      <c r="E180" s="24" t="s">
        <v>183</v>
      </c>
      <c r="F180" s="127">
        <v>1</v>
      </c>
      <c r="G180" s="124"/>
      <c r="H180" s="124"/>
      <c r="I180" s="125"/>
      <c r="J180" s="166"/>
      <c r="P180" s="5"/>
    </row>
    <row r="181" spans="1:16" ht="36">
      <c r="A181" s="10"/>
      <c r="B181" s="14" t="s">
        <v>161</v>
      </c>
      <c r="C181" s="89">
        <v>295</v>
      </c>
      <c r="D181" s="15" t="s">
        <v>11</v>
      </c>
      <c r="E181" s="24" t="s">
        <v>183</v>
      </c>
      <c r="F181" s="127">
        <v>5</v>
      </c>
      <c r="G181" s="124"/>
      <c r="H181" s="124"/>
      <c r="I181" s="125"/>
      <c r="J181" s="166"/>
      <c r="P181" s="5"/>
    </row>
    <row r="182" spans="1:16" ht="24">
      <c r="A182" s="10"/>
      <c r="B182" s="14" t="s">
        <v>164</v>
      </c>
      <c r="C182" s="89">
        <v>385</v>
      </c>
      <c r="D182" s="15" t="s">
        <v>272</v>
      </c>
      <c r="E182" s="24" t="s">
        <v>183</v>
      </c>
      <c r="F182" s="127">
        <v>4</v>
      </c>
      <c r="G182" s="124"/>
      <c r="H182" s="124"/>
      <c r="I182" s="125"/>
      <c r="J182" s="166"/>
      <c r="P182" s="5"/>
    </row>
    <row r="183" spans="1:16" ht="36.75" thickBot="1">
      <c r="A183" s="10"/>
      <c r="B183" s="34" t="s">
        <v>166</v>
      </c>
      <c r="C183" s="90">
        <v>390</v>
      </c>
      <c r="D183" s="15" t="s">
        <v>10</v>
      </c>
      <c r="E183" s="24" t="s">
        <v>183</v>
      </c>
      <c r="F183" s="127">
        <v>4</v>
      </c>
      <c r="G183" s="124"/>
      <c r="H183" s="124"/>
      <c r="I183" s="125"/>
      <c r="J183" s="166"/>
      <c r="P183" s="5"/>
    </row>
    <row r="184" spans="1:16" ht="12.75" thickBot="1">
      <c r="A184" s="100">
        <v>19</v>
      </c>
      <c r="B184" s="105"/>
      <c r="C184" s="114"/>
      <c r="D184" s="103" t="s">
        <v>203</v>
      </c>
      <c r="E184" s="108"/>
      <c r="F184" s="128"/>
      <c r="G184" s="129"/>
      <c r="H184" s="129"/>
      <c r="I184" s="120"/>
      <c r="J184" s="121">
        <f>'computo y presupuesto haspen'!J184</f>
        <v>1.7345703950385543</v>
      </c>
      <c r="P184" s="5"/>
    </row>
    <row r="185" spans="1:16" ht="60">
      <c r="A185" s="10"/>
      <c r="B185" s="52" t="s">
        <v>156</v>
      </c>
      <c r="C185" s="91">
        <v>780</v>
      </c>
      <c r="D185" s="12" t="s">
        <v>19</v>
      </c>
      <c r="E185" s="26" t="s">
        <v>183</v>
      </c>
      <c r="F185" s="122">
        <v>4</v>
      </c>
      <c r="G185" s="124"/>
      <c r="H185" s="124"/>
      <c r="I185" s="125"/>
      <c r="J185" s="166"/>
      <c r="P185" s="5"/>
    </row>
    <row r="186" spans="1:16" ht="72">
      <c r="A186" s="10"/>
      <c r="B186" s="14" t="s">
        <v>159</v>
      </c>
      <c r="C186" s="89">
        <v>296</v>
      </c>
      <c r="D186" s="15" t="s">
        <v>71</v>
      </c>
      <c r="E186" s="24" t="s">
        <v>163</v>
      </c>
      <c r="F186" s="127">
        <f>176+34</f>
        <v>210</v>
      </c>
      <c r="G186" s="124"/>
      <c r="H186" s="124"/>
      <c r="I186" s="125"/>
      <c r="J186" s="166"/>
      <c r="P186" s="5"/>
    </row>
    <row r="187" spans="1:16" ht="24">
      <c r="A187" s="10"/>
      <c r="B187" s="14" t="s">
        <v>161</v>
      </c>
      <c r="C187" s="89">
        <v>296</v>
      </c>
      <c r="D187" s="15" t="s">
        <v>20</v>
      </c>
      <c r="E187" s="24" t="s">
        <v>183</v>
      </c>
      <c r="F187" s="127">
        <v>188</v>
      </c>
      <c r="G187" s="124"/>
      <c r="H187" s="124"/>
      <c r="I187" s="125"/>
      <c r="J187" s="166"/>
      <c r="P187" s="5"/>
    </row>
    <row r="188" spans="1:16" ht="36">
      <c r="A188" s="10"/>
      <c r="B188" s="14" t="s">
        <v>164</v>
      </c>
      <c r="C188" s="89">
        <v>296</v>
      </c>
      <c r="D188" s="15" t="s">
        <v>21</v>
      </c>
      <c r="E188" s="24" t="s">
        <v>183</v>
      </c>
      <c r="F188" s="127">
        <v>17</v>
      </c>
      <c r="G188" s="124"/>
      <c r="H188" s="124"/>
      <c r="I188" s="125"/>
      <c r="J188" s="166"/>
      <c r="P188" s="5"/>
    </row>
    <row r="189" spans="1:16" ht="60.75" thickBot="1">
      <c r="A189" s="10"/>
      <c r="B189" s="14" t="s">
        <v>166</v>
      </c>
      <c r="C189" s="84">
        <v>296</v>
      </c>
      <c r="D189" s="15" t="s">
        <v>22</v>
      </c>
      <c r="E189" s="24" t="s">
        <v>163</v>
      </c>
      <c r="F189" s="127">
        <f>17*8</f>
        <v>136</v>
      </c>
      <c r="G189" s="124"/>
      <c r="H189" s="124"/>
      <c r="I189" s="125"/>
      <c r="J189" s="166"/>
      <c r="P189" s="5"/>
    </row>
    <row r="190" spans="1:16" ht="12.75" thickBot="1">
      <c r="A190" s="100">
        <v>20</v>
      </c>
      <c r="B190" s="105"/>
      <c r="C190" s="106"/>
      <c r="D190" s="103" t="s">
        <v>204</v>
      </c>
      <c r="E190" s="108"/>
      <c r="F190" s="128"/>
      <c r="G190" s="129"/>
      <c r="H190" s="129"/>
      <c r="I190" s="120"/>
      <c r="J190" s="121">
        <f>'computo y presupuesto haspen'!J190</f>
        <v>2.4743333526554196</v>
      </c>
      <c r="P190" s="5"/>
    </row>
    <row r="191" spans="1:16" ht="12">
      <c r="A191" s="10"/>
      <c r="B191" s="44" t="s">
        <v>73</v>
      </c>
      <c r="C191" s="84"/>
      <c r="D191" s="45" t="s">
        <v>239</v>
      </c>
      <c r="E191" s="26"/>
      <c r="F191" s="122"/>
      <c r="G191" s="179"/>
      <c r="H191" s="179"/>
      <c r="I191" s="125"/>
      <c r="J191" s="166"/>
      <c r="P191" s="5"/>
    </row>
    <row r="192" spans="1:16" ht="48">
      <c r="A192" s="10"/>
      <c r="B192" s="14" t="s">
        <v>156</v>
      </c>
      <c r="C192" s="89">
        <v>287</v>
      </c>
      <c r="D192" s="15" t="s">
        <v>270</v>
      </c>
      <c r="E192" s="24" t="s">
        <v>183</v>
      </c>
      <c r="F192" s="127">
        <f>10+6+6</f>
        <v>22</v>
      </c>
      <c r="G192" s="124"/>
      <c r="H192" s="124"/>
      <c r="I192" s="125"/>
      <c r="J192" s="166"/>
      <c r="P192" s="5"/>
    </row>
    <row r="193" spans="1:16" ht="48">
      <c r="A193" s="10"/>
      <c r="B193" s="14" t="s">
        <v>159</v>
      </c>
      <c r="C193" s="89">
        <v>287</v>
      </c>
      <c r="D193" s="15" t="s">
        <v>12</v>
      </c>
      <c r="E193" s="24" t="s">
        <v>183</v>
      </c>
      <c r="F193" s="127">
        <v>6</v>
      </c>
      <c r="G193" s="124"/>
      <c r="H193" s="124"/>
      <c r="I193" s="125"/>
      <c r="J193" s="166"/>
      <c r="P193" s="5"/>
    </row>
    <row r="194" spans="1:16" ht="60">
      <c r="A194" s="10"/>
      <c r="B194" s="14" t="s">
        <v>161</v>
      </c>
      <c r="C194" s="89">
        <v>287</v>
      </c>
      <c r="D194" s="15" t="s">
        <v>72</v>
      </c>
      <c r="E194" s="24" t="s">
        <v>183</v>
      </c>
      <c r="F194" s="127">
        <f>13+7+8+14+13+11+12+3+16+1+21+13+1+7-6</f>
        <v>134</v>
      </c>
      <c r="G194" s="124"/>
      <c r="H194" s="124"/>
      <c r="I194" s="125"/>
      <c r="J194" s="166"/>
      <c r="P194" s="5"/>
    </row>
    <row r="195" spans="1:16" ht="36">
      <c r="A195" s="10"/>
      <c r="B195" s="14" t="s">
        <v>164</v>
      </c>
      <c r="C195" s="89">
        <v>287</v>
      </c>
      <c r="D195" s="15" t="s">
        <v>137</v>
      </c>
      <c r="E195" s="24" t="s">
        <v>183</v>
      </c>
      <c r="F195" s="127">
        <v>7</v>
      </c>
      <c r="G195" s="124"/>
      <c r="H195" s="124"/>
      <c r="I195" s="125"/>
      <c r="J195" s="166"/>
      <c r="P195" s="5"/>
    </row>
    <row r="196" spans="1:16" ht="36">
      <c r="A196" s="10"/>
      <c r="B196" s="14" t="s">
        <v>166</v>
      </c>
      <c r="C196" s="89">
        <v>293</v>
      </c>
      <c r="D196" s="15" t="s">
        <v>205</v>
      </c>
      <c r="E196" s="24" t="s">
        <v>183</v>
      </c>
      <c r="F196" s="127">
        <v>1</v>
      </c>
      <c r="G196" s="124"/>
      <c r="H196" s="124"/>
      <c r="I196" s="125"/>
      <c r="J196" s="166"/>
      <c r="P196" s="5"/>
    </row>
    <row r="197" spans="1:16" ht="60">
      <c r="A197" s="10"/>
      <c r="B197" s="14" t="s">
        <v>168</v>
      </c>
      <c r="C197" s="89">
        <v>287</v>
      </c>
      <c r="D197" s="15" t="s">
        <v>238</v>
      </c>
      <c r="E197" s="24" t="s">
        <v>183</v>
      </c>
      <c r="F197" s="127">
        <v>1</v>
      </c>
      <c r="G197" s="124"/>
      <c r="H197" s="124"/>
      <c r="I197" s="125"/>
      <c r="J197" s="166"/>
      <c r="P197" s="5"/>
    </row>
    <row r="198" spans="1:16" ht="72">
      <c r="A198" s="10"/>
      <c r="B198" s="14" t="s">
        <v>184</v>
      </c>
      <c r="C198" s="89">
        <v>287</v>
      </c>
      <c r="D198" s="15" t="s">
        <v>109</v>
      </c>
      <c r="E198" s="24" t="s">
        <v>183</v>
      </c>
      <c r="F198" s="127">
        <v>3</v>
      </c>
      <c r="G198" s="124"/>
      <c r="H198" s="124"/>
      <c r="I198" s="125"/>
      <c r="J198" s="166"/>
      <c r="P198" s="5"/>
    </row>
    <row r="199" spans="1:16" ht="15.75" customHeight="1">
      <c r="A199" s="10"/>
      <c r="B199" s="46" t="s">
        <v>74</v>
      </c>
      <c r="C199" s="89"/>
      <c r="D199" s="47" t="s">
        <v>206</v>
      </c>
      <c r="E199" s="24"/>
      <c r="F199" s="127"/>
      <c r="G199" s="124"/>
      <c r="H199" s="124"/>
      <c r="I199" s="125"/>
      <c r="J199" s="166"/>
      <c r="P199" s="5"/>
    </row>
    <row r="200" spans="1:16" ht="15.75" customHeight="1">
      <c r="A200" s="10"/>
      <c r="B200" s="14" t="s">
        <v>156</v>
      </c>
      <c r="C200" s="89">
        <v>320</v>
      </c>
      <c r="D200" s="15" t="s">
        <v>138</v>
      </c>
      <c r="E200" s="24" t="s">
        <v>183</v>
      </c>
      <c r="F200" s="127">
        <v>4</v>
      </c>
      <c r="G200" s="124"/>
      <c r="H200" s="124"/>
      <c r="I200" s="125"/>
      <c r="J200" s="166"/>
      <c r="P200" s="5"/>
    </row>
    <row r="201" spans="1:16" ht="15.75" customHeight="1">
      <c r="A201" s="10"/>
      <c r="B201" s="14" t="s">
        <v>159</v>
      </c>
      <c r="C201" s="89">
        <v>320</v>
      </c>
      <c r="D201" s="15" t="s">
        <v>139</v>
      </c>
      <c r="E201" s="24" t="s">
        <v>183</v>
      </c>
      <c r="F201" s="127">
        <v>9</v>
      </c>
      <c r="G201" s="124"/>
      <c r="H201" s="124"/>
      <c r="I201" s="125"/>
      <c r="J201" s="166"/>
      <c r="P201" s="5"/>
    </row>
    <row r="202" spans="1:16" ht="15.75" customHeight="1">
      <c r="A202" s="10"/>
      <c r="B202" s="14" t="s">
        <v>161</v>
      </c>
      <c r="C202" s="89">
        <v>320</v>
      </c>
      <c r="D202" s="15" t="s">
        <v>140</v>
      </c>
      <c r="E202" s="24" t="s">
        <v>183</v>
      </c>
      <c r="F202" s="127">
        <v>4</v>
      </c>
      <c r="G202" s="124"/>
      <c r="H202" s="124"/>
      <c r="I202" s="125"/>
      <c r="J202" s="166"/>
      <c r="P202" s="5"/>
    </row>
    <row r="203" spans="1:16" ht="15.75" customHeight="1">
      <c r="A203" s="10"/>
      <c r="B203" s="14" t="s">
        <v>164</v>
      </c>
      <c r="C203" s="89">
        <v>320</v>
      </c>
      <c r="D203" s="15" t="s">
        <v>141</v>
      </c>
      <c r="E203" s="24" t="s">
        <v>183</v>
      </c>
      <c r="F203" s="127">
        <v>38</v>
      </c>
      <c r="G203" s="124"/>
      <c r="H203" s="124"/>
      <c r="I203" s="125"/>
      <c r="J203" s="166"/>
      <c r="P203" s="5"/>
    </row>
    <row r="204" spans="1:16" ht="15.75" customHeight="1">
      <c r="A204" s="10"/>
      <c r="B204" s="14" t="s">
        <v>166</v>
      </c>
      <c r="C204" s="89">
        <v>320</v>
      </c>
      <c r="D204" s="15" t="s">
        <v>142</v>
      </c>
      <c r="E204" s="23" t="s">
        <v>183</v>
      </c>
      <c r="F204" s="127">
        <v>18</v>
      </c>
      <c r="G204" s="124"/>
      <c r="H204" s="124"/>
      <c r="I204" s="125"/>
      <c r="J204" s="166"/>
      <c r="P204" s="5"/>
    </row>
    <row r="205" spans="1:16" ht="15.75" customHeight="1">
      <c r="A205" s="10"/>
      <c r="B205" s="14" t="s">
        <v>168</v>
      </c>
      <c r="C205" s="89">
        <v>320</v>
      </c>
      <c r="D205" s="15" t="s">
        <v>143</v>
      </c>
      <c r="E205" s="23" t="s">
        <v>183</v>
      </c>
      <c r="F205" s="127">
        <v>6</v>
      </c>
      <c r="G205" s="124"/>
      <c r="H205" s="124"/>
      <c r="I205" s="125"/>
      <c r="J205" s="166"/>
      <c r="P205" s="5"/>
    </row>
    <row r="206" spans="1:16" ht="15.75" customHeight="1">
      <c r="A206" s="10"/>
      <c r="B206" s="14" t="s">
        <v>184</v>
      </c>
      <c r="C206" s="89">
        <v>320</v>
      </c>
      <c r="D206" s="15" t="s">
        <v>144</v>
      </c>
      <c r="E206" s="23" t="s">
        <v>183</v>
      </c>
      <c r="F206" s="127">
        <v>28</v>
      </c>
      <c r="G206" s="124"/>
      <c r="H206" s="124"/>
      <c r="I206" s="125"/>
      <c r="J206" s="166"/>
      <c r="P206" s="5"/>
    </row>
    <row r="207" spans="1:16" ht="15.75" customHeight="1">
      <c r="A207" s="10"/>
      <c r="B207" s="14" t="s">
        <v>185</v>
      </c>
      <c r="C207" s="89">
        <v>320</v>
      </c>
      <c r="D207" s="15" t="s">
        <v>145</v>
      </c>
      <c r="E207" s="23" t="s">
        <v>183</v>
      </c>
      <c r="F207" s="127">
        <v>16</v>
      </c>
      <c r="G207" s="124"/>
      <c r="H207" s="124"/>
      <c r="I207" s="125"/>
      <c r="J207" s="166"/>
      <c r="P207" s="5"/>
    </row>
    <row r="208" spans="1:16" ht="15.75" customHeight="1">
      <c r="A208" s="10"/>
      <c r="B208" s="14" t="s">
        <v>186</v>
      </c>
      <c r="C208" s="89">
        <v>320</v>
      </c>
      <c r="D208" s="15" t="s">
        <v>146</v>
      </c>
      <c r="E208" s="23" t="s">
        <v>183</v>
      </c>
      <c r="F208" s="127">
        <v>11</v>
      </c>
      <c r="G208" s="124"/>
      <c r="H208" s="124"/>
      <c r="I208" s="125"/>
      <c r="J208" s="166"/>
      <c r="P208" s="5"/>
    </row>
    <row r="209" spans="1:16" ht="15.75" customHeight="1">
      <c r="A209" s="10"/>
      <c r="B209" s="14" t="s">
        <v>187</v>
      </c>
      <c r="C209" s="89">
        <v>320</v>
      </c>
      <c r="D209" s="15" t="s">
        <v>31</v>
      </c>
      <c r="E209" s="23" t="s">
        <v>183</v>
      </c>
      <c r="F209" s="127">
        <v>7</v>
      </c>
      <c r="G209" s="124"/>
      <c r="H209" s="124"/>
      <c r="I209" s="125"/>
      <c r="J209" s="166"/>
      <c r="P209" s="5"/>
    </row>
    <row r="210" spans="1:16" ht="15.75" customHeight="1">
      <c r="A210" s="10"/>
      <c r="B210" s="14" t="s">
        <v>188</v>
      </c>
      <c r="C210" s="89">
        <v>320</v>
      </c>
      <c r="D210" s="15" t="s">
        <v>147</v>
      </c>
      <c r="E210" s="23" t="s">
        <v>183</v>
      </c>
      <c r="F210" s="127">
        <v>4</v>
      </c>
      <c r="G210" s="124"/>
      <c r="H210" s="124"/>
      <c r="I210" s="125"/>
      <c r="J210" s="166"/>
      <c r="P210" s="5"/>
    </row>
    <row r="211" spans="1:16" ht="15.75" customHeight="1">
      <c r="A211" s="10"/>
      <c r="B211" s="14" t="s">
        <v>189</v>
      </c>
      <c r="C211" s="89">
        <v>320</v>
      </c>
      <c r="D211" s="15" t="s">
        <v>148</v>
      </c>
      <c r="E211" s="23" t="s">
        <v>183</v>
      </c>
      <c r="F211" s="127">
        <v>2</v>
      </c>
      <c r="G211" s="124"/>
      <c r="H211" s="124"/>
      <c r="I211" s="125"/>
      <c r="J211" s="166"/>
      <c r="P211" s="5"/>
    </row>
    <row r="212" spans="1:10" s="1" customFormat="1" ht="48">
      <c r="A212" s="10"/>
      <c r="B212" s="14" t="s">
        <v>190</v>
      </c>
      <c r="C212" s="89" t="s">
        <v>264</v>
      </c>
      <c r="D212" s="22" t="s">
        <v>263</v>
      </c>
      <c r="E212" s="24" t="s">
        <v>183</v>
      </c>
      <c r="F212" s="127">
        <v>1</v>
      </c>
      <c r="G212" s="124"/>
      <c r="H212" s="124"/>
      <c r="I212" s="125"/>
      <c r="J212" s="176"/>
    </row>
    <row r="213" spans="1:16" ht="15.75" customHeight="1">
      <c r="A213" s="10"/>
      <c r="B213" s="46" t="s">
        <v>107</v>
      </c>
      <c r="C213" s="89"/>
      <c r="D213" s="47" t="s">
        <v>207</v>
      </c>
      <c r="E213" s="24"/>
      <c r="F213" s="127"/>
      <c r="G213" s="124"/>
      <c r="H213" s="124"/>
      <c r="I213" s="125"/>
      <c r="J213" s="166"/>
      <c r="P213" s="5"/>
    </row>
    <row r="214" spans="1:16" ht="12">
      <c r="A214" s="10"/>
      <c r="B214" s="54" t="s">
        <v>156</v>
      </c>
      <c r="C214" s="89">
        <v>322</v>
      </c>
      <c r="D214" s="15" t="s">
        <v>208</v>
      </c>
      <c r="E214" s="23" t="s">
        <v>183</v>
      </c>
      <c r="F214" s="127">
        <v>1</v>
      </c>
      <c r="G214" s="124"/>
      <c r="H214" s="124"/>
      <c r="I214" s="125"/>
      <c r="J214" s="166"/>
      <c r="P214" s="5"/>
    </row>
    <row r="215" spans="1:16" ht="24">
      <c r="A215" s="10"/>
      <c r="B215" s="54" t="s">
        <v>159</v>
      </c>
      <c r="C215" s="89">
        <v>322</v>
      </c>
      <c r="D215" s="15" t="s">
        <v>209</v>
      </c>
      <c r="E215" s="23" t="s">
        <v>183</v>
      </c>
      <c r="F215" s="127">
        <v>1</v>
      </c>
      <c r="G215" s="124"/>
      <c r="H215" s="124"/>
      <c r="I215" s="125"/>
      <c r="J215" s="166"/>
      <c r="P215" s="5"/>
    </row>
    <row r="216" spans="1:16" ht="24">
      <c r="A216" s="10"/>
      <c r="B216" s="54" t="s">
        <v>161</v>
      </c>
      <c r="C216" s="89">
        <v>322</v>
      </c>
      <c r="D216" s="15" t="s">
        <v>103</v>
      </c>
      <c r="E216" s="23" t="s">
        <v>183</v>
      </c>
      <c r="F216" s="127">
        <v>1</v>
      </c>
      <c r="G216" s="124"/>
      <c r="H216" s="124"/>
      <c r="I216" s="125"/>
      <c r="J216" s="166"/>
      <c r="P216" s="5"/>
    </row>
    <row r="217" spans="1:16" ht="36">
      <c r="A217" s="10"/>
      <c r="B217" s="54" t="s">
        <v>164</v>
      </c>
      <c r="C217" s="89">
        <v>322</v>
      </c>
      <c r="D217" s="15" t="s">
        <v>211</v>
      </c>
      <c r="E217" s="23" t="s">
        <v>183</v>
      </c>
      <c r="F217" s="127">
        <v>4</v>
      </c>
      <c r="G217" s="124"/>
      <c r="H217" s="124"/>
      <c r="I217" s="125"/>
      <c r="J217" s="166"/>
      <c r="P217" s="5"/>
    </row>
    <row r="218" spans="1:16" ht="24">
      <c r="A218" s="10"/>
      <c r="B218" s="54" t="s">
        <v>166</v>
      </c>
      <c r="C218" s="89">
        <v>322</v>
      </c>
      <c r="D218" s="15" t="s">
        <v>217</v>
      </c>
      <c r="E218" s="23" t="s">
        <v>183</v>
      </c>
      <c r="F218" s="127">
        <v>12</v>
      </c>
      <c r="G218" s="124"/>
      <c r="H218" s="124"/>
      <c r="I218" s="125"/>
      <c r="J218" s="166"/>
      <c r="P218" s="5"/>
    </row>
    <row r="219" spans="1:16" ht="24">
      <c r="A219" s="10"/>
      <c r="B219" s="54" t="s">
        <v>168</v>
      </c>
      <c r="C219" s="89">
        <v>322</v>
      </c>
      <c r="D219" s="15" t="s">
        <v>212</v>
      </c>
      <c r="E219" s="23" t="s">
        <v>183</v>
      </c>
      <c r="F219" s="127">
        <v>1</v>
      </c>
      <c r="G219" s="124"/>
      <c r="H219" s="124"/>
      <c r="I219" s="125"/>
      <c r="J219" s="166"/>
      <c r="P219" s="5"/>
    </row>
    <row r="220" spans="1:16" ht="60">
      <c r="A220" s="10"/>
      <c r="B220" s="54" t="s">
        <v>184</v>
      </c>
      <c r="C220" s="89">
        <v>322</v>
      </c>
      <c r="D220" s="15" t="s">
        <v>213</v>
      </c>
      <c r="E220" s="23" t="s">
        <v>183</v>
      </c>
      <c r="F220" s="127">
        <v>2</v>
      </c>
      <c r="G220" s="124"/>
      <c r="H220" s="124"/>
      <c r="I220" s="125"/>
      <c r="J220" s="166"/>
      <c r="P220" s="5"/>
    </row>
    <row r="221" spans="1:16" ht="48">
      <c r="A221" s="10"/>
      <c r="B221" s="54" t="s">
        <v>185</v>
      </c>
      <c r="C221" s="89">
        <v>322</v>
      </c>
      <c r="D221" s="15" t="s">
        <v>215</v>
      </c>
      <c r="E221" s="23" t="s">
        <v>183</v>
      </c>
      <c r="F221" s="127">
        <v>1</v>
      </c>
      <c r="G221" s="124"/>
      <c r="H221" s="124"/>
      <c r="I221" s="125"/>
      <c r="J221" s="166"/>
      <c r="P221" s="5"/>
    </row>
    <row r="222" spans="1:16" ht="12.75" thickBot="1">
      <c r="A222" s="10"/>
      <c r="B222" s="55" t="s">
        <v>186</v>
      </c>
      <c r="C222" s="84">
        <v>322</v>
      </c>
      <c r="D222" s="56" t="s">
        <v>216</v>
      </c>
      <c r="E222" s="57" t="s">
        <v>183</v>
      </c>
      <c r="F222" s="184">
        <v>1</v>
      </c>
      <c r="G222" s="124"/>
      <c r="H222" s="124"/>
      <c r="I222" s="125"/>
      <c r="J222" s="166"/>
      <c r="P222" s="5"/>
    </row>
    <row r="223" spans="1:16" ht="12.75" thickBot="1">
      <c r="A223" s="100">
        <v>21</v>
      </c>
      <c r="B223" s="105"/>
      <c r="C223" s="106"/>
      <c r="D223" s="115" t="s">
        <v>218</v>
      </c>
      <c r="E223" s="108"/>
      <c r="F223" s="129"/>
      <c r="G223" s="129"/>
      <c r="H223" s="185"/>
      <c r="I223" s="120"/>
      <c r="J223" s="121">
        <f>'computo y presupuesto haspen'!J223</f>
        <v>1.8384091661087358</v>
      </c>
      <c r="P223" s="5"/>
    </row>
    <row r="224" spans="1:16" ht="12">
      <c r="A224" s="10"/>
      <c r="B224" s="58" t="s">
        <v>156</v>
      </c>
      <c r="C224" s="84">
        <v>28</v>
      </c>
      <c r="D224" s="40" t="s">
        <v>246</v>
      </c>
      <c r="E224" s="59" t="s">
        <v>169</v>
      </c>
      <c r="F224" s="186">
        <v>1</v>
      </c>
      <c r="G224" s="124"/>
      <c r="H224" s="140"/>
      <c r="I224" s="130"/>
      <c r="J224" s="166"/>
      <c r="P224" s="5"/>
    </row>
    <row r="225" spans="1:16" ht="12.75" thickBot="1">
      <c r="A225" s="10"/>
      <c r="B225" s="60" t="s">
        <v>159</v>
      </c>
      <c r="C225" s="92">
        <v>32</v>
      </c>
      <c r="D225" s="41" t="s">
        <v>218</v>
      </c>
      <c r="E225" s="61" t="s">
        <v>169</v>
      </c>
      <c r="F225" s="187">
        <v>1</v>
      </c>
      <c r="G225" s="124"/>
      <c r="H225" s="183"/>
      <c r="I225" s="188"/>
      <c r="J225" s="166"/>
      <c r="P225" s="5"/>
    </row>
    <row r="226" spans="1:16" ht="12.75" hidden="1" thickBot="1">
      <c r="A226" s="62"/>
      <c r="B226" s="63"/>
      <c r="C226" s="81"/>
      <c r="D226" s="204" t="s">
        <v>219</v>
      </c>
      <c r="E226" s="205"/>
      <c r="F226" s="205"/>
      <c r="G226" s="205"/>
      <c r="H226" s="206"/>
      <c r="I226" s="189">
        <f>SUM(I5:I223)</f>
        <v>0</v>
      </c>
      <c r="J226" s="64"/>
      <c r="P226" s="5"/>
    </row>
    <row r="227" spans="1:16" ht="12.75" hidden="1" thickBot="1">
      <c r="A227" s="94"/>
      <c r="B227" s="95"/>
      <c r="C227" s="96"/>
      <c r="D227" s="198" t="s">
        <v>64</v>
      </c>
      <c r="E227" s="199"/>
      <c r="F227" s="199"/>
      <c r="G227" s="199"/>
      <c r="H227" s="200"/>
      <c r="I227" s="190">
        <f>I226*2.58/100</f>
        <v>0</v>
      </c>
      <c r="J227" s="64"/>
      <c r="P227" s="5"/>
    </row>
    <row r="228" spans="1:16" ht="12.75" hidden="1" thickBot="1">
      <c r="A228" s="94"/>
      <c r="B228" s="95"/>
      <c r="C228" s="96"/>
      <c r="D228" s="198" t="s">
        <v>220</v>
      </c>
      <c r="E228" s="199"/>
      <c r="F228" s="199"/>
      <c r="G228" s="199"/>
      <c r="H228" s="200"/>
      <c r="I228" s="190">
        <f>I226+I227</f>
        <v>0</v>
      </c>
      <c r="J228" s="64"/>
      <c r="P228" s="5"/>
    </row>
    <row r="229" spans="1:16" ht="12.75" hidden="1" thickBot="1">
      <c r="A229" s="65"/>
      <c r="B229" s="66"/>
      <c r="C229" s="82"/>
      <c r="D229" s="198" t="s">
        <v>65</v>
      </c>
      <c r="E229" s="199"/>
      <c r="F229" s="199"/>
      <c r="G229" s="199"/>
      <c r="H229" s="200"/>
      <c r="I229" s="190">
        <f>I228*22/100</f>
        <v>0</v>
      </c>
      <c r="J229" s="64"/>
      <c r="P229" s="5"/>
    </row>
    <row r="230" spans="1:16" ht="12.75" hidden="1" thickBot="1">
      <c r="A230" s="65"/>
      <c r="B230" s="66"/>
      <c r="C230" s="82"/>
      <c r="D230" s="198" t="s">
        <v>108</v>
      </c>
      <c r="E230" s="199"/>
      <c r="F230" s="199"/>
      <c r="G230" s="199"/>
      <c r="H230" s="200"/>
      <c r="I230" s="190">
        <f>10*I228/100</f>
        <v>0</v>
      </c>
      <c r="J230" s="64"/>
      <c r="P230" s="5"/>
    </row>
    <row r="231" spans="1:16" ht="12.75" hidden="1" thickBot="1">
      <c r="A231" s="65"/>
      <c r="B231" s="66"/>
      <c r="C231" s="82"/>
      <c r="D231" s="198" t="s">
        <v>220</v>
      </c>
      <c r="E231" s="199"/>
      <c r="F231" s="199"/>
      <c r="G231" s="199"/>
      <c r="H231" s="200"/>
      <c r="I231" s="190">
        <f>I228+I229+I230</f>
        <v>0</v>
      </c>
      <c r="J231" s="64"/>
      <c r="K231" s="38"/>
      <c r="P231" s="5"/>
    </row>
    <row r="232" spans="1:16" ht="12.75" hidden="1" thickBot="1">
      <c r="A232" s="97"/>
      <c r="B232" s="98"/>
      <c r="C232" s="99"/>
      <c r="D232" s="198" t="s">
        <v>66</v>
      </c>
      <c r="E232" s="199"/>
      <c r="F232" s="199"/>
      <c r="G232" s="199"/>
      <c r="H232" s="200"/>
      <c r="I232" s="191">
        <f>I231*3/100</f>
        <v>0</v>
      </c>
      <c r="J232" s="64"/>
      <c r="K232" s="38"/>
      <c r="P232" s="5"/>
    </row>
    <row r="233" spans="1:16" ht="12.75" hidden="1" thickBot="1">
      <c r="A233" s="97"/>
      <c r="B233" s="98"/>
      <c r="C233" s="99"/>
      <c r="D233" s="198" t="s">
        <v>220</v>
      </c>
      <c r="E233" s="199"/>
      <c r="F233" s="199"/>
      <c r="G233" s="199"/>
      <c r="H233" s="200"/>
      <c r="I233" s="191">
        <f>I231+I232</f>
        <v>0</v>
      </c>
      <c r="J233" s="64"/>
      <c r="K233" s="38"/>
      <c r="P233" s="5"/>
    </row>
    <row r="234" spans="1:16" ht="12.75" hidden="1" thickBot="1">
      <c r="A234" s="97"/>
      <c r="B234" s="98"/>
      <c r="C234" s="99"/>
      <c r="D234" s="198" t="s">
        <v>67</v>
      </c>
      <c r="E234" s="199"/>
      <c r="F234" s="199"/>
      <c r="G234" s="199"/>
      <c r="H234" s="200"/>
      <c r="I234" s="191">
        <f>I233*1/100</f>
        <v>0</v>
      </c>
      <c r="J234" s="64"/>
      <c r="K234" s="38"/>
      <c r="P234" s="5"/>
    </row>
    <row r="235" spans="1:16" ht="12.75" thickBot="1">
      <c r="A235" s="67"/>
      <c r="B235" s="68"/>
      <c r="C235" s="83"/>
      <c r="D235" s="202" t="s">
        <v>68</v>
      </c>
      <c r="E235" s="203"/>
      <c r="F235" s="203"/>
      <c r="G235" s="203"/>
      <c r="H235" s="203"/>
      <c r="I235" s="116">
        <f>'computo y presupuesto haspen'!I235</f>
        <v>14088207.429411225</v>
      </c>
      <c r="J235" s="93">
        <f>SUM(J5:J223)</f>
        <v>100</v>
      </c>
      <c r="K235" s="38"/>
      <c r="P235" s="5"/>
    </row>
    <row r="236" spans="1:16" ht="12.75" customHeight="1">
      <c r="A236" s="196"/>
      <c r="B236" s="196"/>
      <c r="C236" s="196"/>
      <c r="D236" s="196"/>
      <c r="E236" s="196"/>
      <c r="F236" s="196"/>
      <c r="G236" s="196"/>
      <c r="H236" s="196"/>
      <c r="I236" s="196"/>
      <c r="J236" s="196"/>
      <c r="K236" s="38"/>
      <c r="P236" s="5"/>
    </row>
    <row r="237" spans="1:16" ht="12">
      <c r="A237" s="197"/>
      <c r="B237" s="197"/>
      <c r="C237" s="197"/>
      <c r="D237" s="197"/>
      <c r="E237" s="197"/>
      <c r="F237" s="197"/>
      <c r="G237" s="197"/>
      <c r="H237" s="197"/>
      <c r="I237" s="197"/>
      <c r="J237" s="197"/>
      <c r="K237" s="38"/>
      <c r="P237" s="5"/>
    </row>
    <row r="238" spans="1:16" ht="12">
      <c r="A238" s="197"/>
      <c r="B238" s="197"/>
      <c r="C238" s="197"/>
      <c r="D238" s="197"/>
      <c r="E238" s="197"/>
      <c r="F238" s="197"/>
      <c r="G238" s="197"/>
      <c r="H238" s="197"/>
      <c r="I238" s="197"/>
      <c r="J238" s="197"/>
      <c r="P238" s="5"/>
    </row>
    <row r="239" spans="1:16" ht="12">
      <c r="A239" s="70"/>
      <c r="B239" s="70"/>
      <c r="C239" s="70"/>
      <c r="E239" s="70"/>
      <c r="F239" s="5"/>
      <c r="H239" s="71"/>
      <c r="I239" s="71"/>
      <c r="J239" s="72"/>
      <c r="P239" s="5"/>
    </row>
    <row r="240" spans="1:16" ht="12">
      <c r="A240" s="69"/>
      <c r="B240" s="69"/>
      <c r="C240" s="69"/>
      <c r="D240" s="7"/>
      <c r="E240" s="69"/>
      <c r="F240" s="7"/>
      <c r="G240" s="6"/>
      <c r="H240" s="6"/>
      <c r="I240" s="6"/>
      <c r="J240" s="77"/>
      <c r="K240" s="7"/>
      <c r="P240" s="5"/>
    </row>
    <row r="241" spans="1:16" ht="12">
      <c r="A241" s="69"/>
      <c r="B241" s="78"/>
      <c r="C241" s="69"/>
      <c r="D241" s="7"/>
      <c r="E241" s="79"/>
      <c r="F241" s="80"/>
      <c r="P241" s="5"/>
    </row>
    <row r="242" spans="1:16" ht="12">
      <c r="A242" s="69"/>
      <c r="B242" s="78"/>
      <c r="C242" s="69"/>
      <c r="D242" s="7"/>
      <c r="E242" s="79"/>
      <c r="F242" s="80"/>
      <c r="P242" s="5"/>
    </row>
    <row r="243" spans="1:16" ht="12">
      <c r="A243" s="70"/>
      <c r="C243" s="70"/>
      <c r="P243" s="5"/>
    </row>
    <row r="244" spans="1:16" ht="12">
      <c r="A244" s="70"/>
      <c r="C244" s="70"/>
      <c r="P244" s="5"/>
    </row>
    <row r="245" spans="1:16" ht="12">
      <c r="A245" s="70"/>
      <c r="C245" s="70"/>
      <c r="P245" s="5"/>
    </row>
    <row r="246" spans="1:16" ht="12">
      <c r="A246" s="70"/>
      <c r="C246" s="70"/>
      <c r="P246" s="5"/>
    </row>
    <row r="247" spans="1:16" ht="12">
      <c r="A247" s="70"/>
      <c r="C247" s="70"/>
      <c r="P247" s="5"/>
    </row>
    <row r="248" spans="1:16" ht="12">
      <c r="A248" s="70"/>
      <c r="C248" s="70"/>
      <c r="P248" s="5"/>
    </row>
    <row r="249" spans="1:16" ht="12">
      <c r="A249" s="70"/>
      <c r="C249" s="70"/>
      <c r="P249" s="5"/>
    </row>
    <row r="250" spans="1:16" ht="12">
      <c r="A250" s="70"/>
      <c r="C250" s="70"/>
      <c r="P250" s="5"/>
    </row>
    <row r="251" spans="1:16" ht="12">
      <c r="A251" s="70"/>
      <c r="C251" s="70"/>
      <c r="P251" s="5"/>
    </row>
    <row r="252" spans="1:16" ht="12">
      <c r="A252" s="70"/>
      <c r="C252" s="70"/>
      <c r="P252" s="5"/>
    </row>
    <row r="253" spans="1:16" ht="12">
      <c r="A253" s="70"/>
      <c r="C253" s="70"/>
      <c r="P253" s="5"/>
    </row>
    <row r="254" spans="1:16" ht="12">
      <c r="A254" s="70"/>
      <c r="C254" s="70"/>
      <c r="P254" s="5"/>
    </row>
    <row r="255" spans="1:16" ht="12">
      <c r="A255" s="70"/>
      <c r="C255" s="70"/>
      <c r="P255" s="5"/>
    </row>
    <row r="256" spans="1:16" ht="12">
      <c r="A256" s="70"/>
      <c r="C256" s="70"/>
      <c r="P256" s="5"/>
    </row>
    <row r="257" spans="1:3" ht="12">
      <c r="A257" s="70"/>
      <c r="C257" s="70"/>
    </row>
    <row r="258" spans="1:3" ht="12">
      <c r="A258" s="70"/>
      <c r="C258" s="70"/>
    </row>
    <row r="259" spans="1:3" ht="12">
      <c r="A259" s="70"/>
      <c r="C259" s="70"/>
    </row>
    <row r="260" spans="1:3" ht="12">
      <c r="A260" s="70"/>
      <c r="C260" s="70"/>
    </row>
  </sheetData>
  <sheetProtection/>
  <mergeCells count="27">
    <mergeCell ref="D231:H231"/>
    <mergeCell ref="D232:H232"/>
    <mergeCell ref="D233:H233"/>
    <mergeCell ref="D234:H234"/>
    <mergeCell ref="D235:H235"/>
    <mergeCell ref="A236:J238"/>
    <mergeCell ref="I149:I150"/>
    <mergeCell ref="D226:H226"/>
    <mergeCell ref="D227:H227"/>
    <mergeCell ref="D228:H228"/>
    <mergeCell ref="D229:H229"/>
    <mergeCell ref="D230:H230"/>
    <mergeCell ref="I3:I4"/>
    <mergeCell ref="J3:J4"/>
    <mergeCell ref="I144:I147"/>
    <mergeCell ref="A1:B1"/>
    <mergeCell ref="C1:H1"/>
    <mergeCell ref="I1:J1"/>
    <mergeCell ref="A2:I2"/>
    <mergeCell ref="A3:A4"/>
    <mergeCell ref="B3:B4"/>
    <mergeCell ref="C3:C4"/>
    <mergeCell ref="D3:D4"/>
    <mergeCell ref="E3:E4"/>
    <mergeCell ref="F3:F4"/>
    <mergeCell ref="G3:G4"/>
    <mergeCell ref="H3:H4"/>
  </mergeCells>
  <printOptions gridLines="1" horizontalCentered="1"/>
  <pageMargins left="0.23" right="0.26" top="0.77" bottom="0.5905511811023623" header="0.77" footer="0"/>
  <pageSetup horizontalDpi="300" verticalDpi="300" orientation="portrait" paperSize="5" scale="70" r:id="rId4"/>
  <headerFooter alignWithMargins="0">
    <oddFooter>&amp;C&amp;8Página &amp;P de &amp;N</oddFooter>
  </headerFooter>
  <drawing r:id="rId3"/>
  <legacyDrawing r:id="rId2"/>
  <oleObjects>
    <oleObject progId="Word.Document.8" shapeId="66966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GOB.PROV.TIERRA DEL FUEGO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Mtrio. Economia O. y S.P.</dc:creator>
  <cp:keywords/>
  <dc:description/>
  <cp:lastModifiedBy>Administrador</cp:lastModifiedBy>
  <cp:lastPrinted>2013-02-28T18:14:24Z</cp:lastPrinted>
  <dcterms:created xsi:type="dcterms:W3CDTF">2003-01-27T18:57:23Z</dcterms:created>
  <dcterms:modified xsi:type="dcterms:W3CDTF">2013-09-06T18:02:27Z</dcterms:modified>
  <cp:category/>
  <cp:version/>
  <cp:contentType/>
  <cp:contentStatus/>
</cp:coreProperties>
</file>